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Local Government\Special variations and Minimum Rates\Special Variations\Special variations 2014-15\Representations\z-do not use\Website\"/>
    </mc:Choice>
  </mc:AlternateContent>
  <bookViews>
    <workbookView xWindow="0" yWindow="0" windowWidth="15360" windowHeight="8736" tabRatio="783"/>
  </bookViews>
  <sheets>
    <sheet name="Instructions" sheetId="16" r:id="rId1"/>
    <sheet name="WK0 - Input data" sheetId="22" state="hidden" r:id="rId2"/>
    <sheet name="WK1 - Identification" sheetId="13" r:id="rId3"/>
    <sheet name="WK2 - Notional General Income" sheetId="3" r:id="rId4"/>
    <sheet name="WK3 - Notional GI Yr1 YIELD" sheetId="4" r:id="rId5"/>
    <sheet name="WK4 - PGI summary" sheetId="14" r:id="rId6"/>
    <sheet name="WK5a - Impact on Rates" sheetId="15" r:id="rId7"/>
    <sheet name="WK5b - Impact on Rates" sheetId="19" r:id="rId8"/>
    <sheet name="WK6 - Expenditure Program" sheetId="18" r:id="rId9"/>
    <sheet name="WK7 - Long Term Financial Plan" sheetId="21" r:id="rId10"/>
  </sheets>
  <definedNames>
    <definedName name="_xlnm.Print_Area" localSheetId="0">Instructions!$A$1:$N$250</definedName>
    <definedName name="_xlnm.Print_Area" localSheetId="2">'WK1 - Identification'!$A$1:$Q$98</definedName>
    <definedName name="_xlnm.Print_Area" localSheetId="3">'WK2 - Notional General Income'!$A$1:$M$167</definedName>
    <definedName name="_xlnm.Print_Area" localSheetId="4">'WK3 - Notional GI Yr1 YIELD'!$A$1:$M$169</definedName>
    <definedName name="_xlnm.Print_Area" localSheetId="5">'WK4 - PGI summary'!$A$1:$I$47</definedName>
    <definedName name="_xlnm.Print_Area" localSheetId="6">'WK5a - Impact on Rates'!$B$1:$AN$415</definedName>
    <definedName name="_xlnm.Print_Area" localSheetId="7">'WK5b - Impact on Rates'!$B$1:$AU$145</definedName>
    <definedName name="_xlnm.Print_Area" localSheetId="8">'WK6 - Expenditure Program'!$A$1:$N$104</definedName>
    <definedName name="S2_Annual_Charges_Sub_Total" localSheetId="3">'WK2 - Notional General Income'!$L$161</definedName>
    <definedName name="S2_Annual_Charges_Sub_Total">'WK3 - Notional GI Yr1 YIELD'!$L$157</definedName>
    <definedName name="S2_Ordinary_Rates_Sub_Total" localSheetId="3">'WK2 - Notional General Income'!$L$87</definedName>
    <definedName name="S2_Ordinary_Rates_Sub_Total">'WK3 - Notional GI Yr1 YIELD'!$L$84</definedName>
    <definedName name="S2_Special_Rates_Sub_Total" localSheetId="3">'WK2 - Notional General Income'!$L$145</definedName>
    <definedName name="S2_Special_Rates_Sub_Total">'WK3 - Notional GI Yr1 YIELD'!$L$142</definedName>
    <definedName name="Total_First_year_Notional_General_Income_Yield">'WK3 - Notional GI Yr1 YIELD'!$K$160</definedName>
    <definedName name="Total_Prior_year_Notional_General_Income">'WK2 - Notional General Income'!$K$164</definedName>
  </definedNames>
  <calcPr calcId="152511"/>
</workbook>
</file>

<file path=xl/calcChain.xml><?xml version="1.0" encoding="utf-8"?>
<calcChain xmlns="http://schemas.openxmlformats.org/spreadsheetml/2006/main">
  <c r="N37" i="18" l="1"/>
  <c r="L78" i="21"/>
  <c r="L76" i="21"/>
  <c r="L74" i="21"/>
  <c r="L64" i="21"/>
  <c r="L63" i="21"/>
  <c r="L45" i="21"/>
  <c r="L31" i="21"/>
  <c r="L30" i="21"/>
  <c r="K78" i="21"/>
  <c r="K76" i="21"/>
  <c r="K66" i="21"/>
  <c r="K64" i="21"/>
  <c r="K63" i="21"/>
  <c r="K62" i="21"/>
  <c r="K46" i="21"/>
  <c r="K43" i="21"/>
  <c r="J64" i="21"/>
  <c r="J63" i="21"/>
  <c r="J31" i="21"/>
  <c r="J30" i="21"/>
  <c r="I78" i="21"/>
  <c r="I76" i="21"/>
  <c r="I31" i="21"/>
  <c r="I30" i="21"/>
  <c r="H78" i="21"/>
  <c r="H64" i="21"/>
  <c r="H63" i="21"/>
  <c r="H32" i="21"/>
  <c r="H36" i="21"/>
  <c r="H37" i="21"/>
  <c r="H137" i="21"/>
  <c r="H31" i="21"/>
  <c r="G78" i="21"/>
  <c r="G77" i="21"/>
  <c r="G64" i="21"/>
  <c r="G63" i="21"/>
  <c r="G45" i="21"/>
  <c r="G43" i="21"/>
  <c r="G31" i="21"/>
  <c r="F75" i="21"/>
  <c r="F65" i="21"/>
  <c r="F64" i="21"/>
  <c r="F63" i="21"/>
  <c r="F46" i="21"/>
  <c r="F45" i="21"/>
  <c r="F43" i="21"/>
  <c r="F79" i="21"/>
  <c r="F78" i="21"/>
  <c r="F77" i="21"/>
  <c r="F76" i="21"/>
  <c r="F74" i="21"/>
  <c r="E66" i="21"/>
  <c r="E65" i="21"/>
  <c r="N78" i="21"/>
  <c r="I75" i="21"/>
  <c r="N45" i="21"/>
  <c r="N145" i="21"/>
  <c r="K45" i="21"/>
  <c r="H132" i="21"/>
  <c r="G41" i="21"/>
  <c r="G33" i="21"/>
  <c r="G133" i="21"/>
  <c r="H374" i="15"/>
  <c r="I374" i="15"/>
  <c r="J374" i="15"/>
  <c r="G374" i="15"/>
  <c r="F374" i="15"/>
  <c r="H347" i="15"/>
  <c r="I347" i="15"/>
  <c r="J347" i="15"/>
  <c r="AB347" i="15"/>
  <c r="G347" i="15"/>
  <c r="F347" i="15"/>
  <c r="H314" i="15"/>
  <c r="I314" i="15"/>
  <c r="J314" i="15"/>
  <c r="G314" i="15"/>
  <c r="F314" i="15"/>
  <c r="I70" i="19"/>
  <c r="J70" i="19"/>
  <c r="K70" i="19"/>
  <c r="I71" i="19"/>
  <c r="J71" i="19"/>
  <c r="K71" i="19"/>
  <c r="I72" i="19"/>
  <c r="J72" i="19"/>
  <c r="K72" i="19"/>
  <c r="I73" i="19"/>
  <c r="J73" i="19"/>
  <c r="K73" i="19"/>
  <c r="I74" i="19"/>
  <c r="J74" i="19"/>
  <c r="K74" i="19"/>
  <c r="I75" i="19"/>
  <c r="J75" i="19"/>
  <c r="K75" i="19"/>
  <c r="I76" i="19"/>
  <c r="J76" i="19"/>
  <c r="K76" i="19"/>
  <c r="I77" i="19"/>
  <c r="J77" i="19"/>
  <c r="K77" i="19"/>
  <c r="I78" i="19"/>
  <c r="J78" i="19"/>
  <c r="K78" i="19"/>
  <c r="I79" i="19"/>
  <c r="J79" i="19"/>
  <c r="K79" i="19"/>
  <c r="I80" i="19"/>
  <c r="J80" i="19"/>
  <c r="K80" i="19"/>
  <c r="I81" i="19"/>
  <c r="J81" i="19"/>
  <c r="K81" i="19"/>
  <c r="I82" i="19"/>
  <c r="J82" i="19"/>
  <c r="K82" i="19"/>
  <c r="I83" i="19"/>
  <c r="J83" i="19"/>
  <c r="K83" i="19"/>
  <c r="H71" i="19"/>
  <c r="H72" i="19"/>
  <c r="H73" i="19"/>
  <c r="H74" i="19"/>
  <c r="H75" i="19"/>
  <c r="H76" i="19"/>
  <c r="H77" i="19"/>
  <c r="H78" i="19"/>
  <c r="H79" i="19"/>
  <c r="H80" i="19"/>
  <c r="H81" i="19"/>
  <c r="H82" i="19"/>
  <c r="H83" i="19"/>
  <c r="H70" i="19"/>
  <c r="G71" i="19"/>
  <c r="G72" i="19"/>
  <c r="G73" i="19"/>
  <c r="G74" i="19"/>
  <c r="G75" i="19"/>
  <c r="G76" i="19"/>
  <c r="G77" i="19"/>
  <c r="G78" i="19"/>
  <c r="G79" i="19"/>
  <c r="G80" i="19"/>
  <c r="G81" i="19"/>
  <c r="G82" i="19"/>
  <c r="G83" i="19"/>
  <c r="G70" i="19"/>
  <c r="I90" i="19"/>
  <c r="J90" i="19"/>
  <c r="K90" i="19"/>
  <c r="I91" i="19"/>
  <c r="J91" i="19"/>
  <c r="K91" i="19"/>
  <c r="I92" i="19"/>
  <c r="J92" i="19"/>
  <c r="K92" i="19"/>
  <c r="I93" i="19"/>
  <c r="J93" i="19"/>
  <c r="K93" i="19"/>
  <c r="I94" i="19"/>
  <c r="J94" i="19"/>
  <c r="K94" i="19"/>
  <c r="I95" i="19"/>
  <c r="J95" i="19"/>
  <c r="K95" i="19"/>
  <c r="I96" i="19"/>
  <c r="J96" i="19"/>
  <c r="K96" i="19"/>
  <c r="I97" i="19"/>
  <c r="J97" i="19"/>
  <c r="K97" i="19"/>
  <c r="I98" i="19"/>
  <c r="J98" i="19"/>
  <c r="K98" i="19"/>
  <c r="I99" i="19"/>
  <c r="J99" i="19"/>
  <c r="K99" i="19"/>
  <c r="I100" i="19"/>
  <c r="J100" i="19"/>
  <c r="K100" i="19"/>
  <c r="I101" i="19"/>
  <c r="J101" i="19"/>
  <c r="K101" i="19"/>
  <c r="I102" i="19"/>
  <c r="J102" i="19"/>
  <c r="K102" i="19"/>
  <c r="I103" i="19"/>
  <c r="J103" i="19"/>
  <c r="K103" i="19"/>
  <c r="H91" i="19"/>
  <c r="H92" i="19"/>
  <c r="H93" i="19"/>
  <c r="H94" i="19"/>
  <c r="H95" i="19"/>
  <c r="H96" i="19"/>
  <c r="H97" i="19"/>
  <c r="H98" i="19"/>
  <c r="H99" i="19"/>
  <c r="H100" i="19"/>
  <c r="H101" i="19"/>
  <c r="H102" i="19"/>
  <c r="H103" i="19"/>
  <c r="H90" i="19"/>
  <c r="G91" i="19"/>
  <c r="G92" i="19"/>
  <c r="G93" i="19"/>
  <c r="G94" i="19"/>
  <c r="G95" i="19"/>
  <c r="G96" i="19"/>
  <c r="G97" i="19"/>
  <c r="G98" i="19"/>
  <c r="G99" i="19"/>
  <c r="G100" i="19"/>
  <c r="G101" i="19"/>
  <c r="G102" i="19"/>
  <c r="G103" i="19"/>
  <c r="G90" i="19"/>
  <c r="F71" i="19"/>
  <c r="F72" i="19"/>
  <c r="F73" i="19"/>
  <c r="F74" i="19"/>
  <c r="F75" i="19"/>
  <c r="F76" i="19"/>
  <c r="F77" i="19"/>
  <c r="F78" i="19"/>
  <c r="F79" i="19"/>
  <c r="F80" i="19"/>
  <c r="F81" i="19"/>
  <c r="F82" i="19"/>
  <c r="F83" i="19"/>
  <c r="F70" i="19"/>
  <c r="F91" i="19"/>
  <c r="F92" i="19"/>
  <c r="F93" i="19"/>
  <c r="F94" i="19"/>
  <c r="F95" i="19"/>
  <c r="F96" i="19"/>
  <c r="F97" i="19"/>
  <c r="F98" i="19"/>
  <c r="F99" i="19"/>
  <c r="F100" i="19"/>
  <c r="F101" i="19"/>
  <c r="F102" i="19"/>
  <c r="F103" i="19"/>
  <c r="F90" i="19"/>
  <c r="I131" i="19"/>
  <c r="J131" i="19"/>
  <c r="K131" i="19"/>
  <c r="I132" i="19"/>
  <c r="J132" i="19"/>
  <c r="K132" i="19"/>
  <c r="I133" i="19"/>
  <c r="J133" i="19"/>
  <c r="K133" i="19"/>
  <c r="I134" i="19"/>
  <c r="J134" i="19"/>
  <c r="K134" i="19"/>
  <c r="I135" i="19"/>
  <c r="J135" i="19"/>
  <c r="K135" i="19"/>
  <c r="I136" i="19"/>
  <c r="J136" i="19"/>
  <c r="K136" i="19"/>
  <c r="I137" i="19"/>
  <c r="J137" i="19"/>
  <c r="K137" i="19"/>
  <c r="I138" i="19"/>
  <c r="J138" i="19"/>
  <c r="K138" i="19"/>
  <c r="I139" i="19"/>
  <c r="J139" i="19"/>
  <c r="K139" i="19"/>
  <c r="I140" i="19"/>
  <c r="J140" i="19"/>
  <c r="K140" i="19"/>
  <c r="I141" i="19"/>
  <c r="J141" i="19"/>
  <c r="K141" i="19"/>
  <c r="I142" i="19"/>
  <c r="J142" i="19"/>
  <c r="K142" i="19"/>
  <c r="I143" i="19"/>
  <c r="J143" i="19"/>
  <c r="K143" i="19"/>
  <c r="I144" i="19"/>
  <c r="J144" i="19"/>
  <c r="K144" i="19"/>
  <c r="H133" i="19"/>
  <c r="H134" i="19"/>
  <c r="H135" i="19"/>
  <c r="H136" i="19"/>
  <c r="H137" i="19"/>
  <c r="H138" i="19"/>
  <c r="H139" i="19"/>
  <c r="H140" i="19"/>
  <c r="H141" i="19"/>
  <c r="H142" i="19"/>
  <c r="H143" i="19"/>
  <c r="H144" i="19"/>
  <c r="H132" i="19"/>
  <c r="H131" i="19"/>
  <c r="I111" i="19"/>
  <c r="J111" i="19"/>
  <c r="K111" i="19"/>
  <c r="I112" i="19"/>
  <c r="J112" i="19"/>
  <c r="K112" i="19"/>
  <c r="I113" i="19"/>
  <c r="J113" i="19"/>
  <c r="K113" i="19"/>
  <c r="I114" i="19"/>
  <c r="J114" i="19"/>
  <c r="K114" i="19"/>
  <c r="I115" i="19"/>
  <c r="J115" i="19"/>
  <c r="K115" i="19"/>
  <c r="I116" i="19"/>
  <c r="J116" i="19"/>
  <c r="K116" i="19"/>
  <c r="I117" i="19"/>
  <c r="J117" i="19"/>
  <c r="K117" i="19"/>
  <c r="I118" i="19"/>
  <c r="J118" i="19"/>
  <c r="K118" i="19"/>
  <c r="I119" i="19"/>
  <c r="J119" i="19"/>
  <c r="K119" i="19"/>
  <c r="I120" i="19"/>
  <c r="J120" i="19"/>
  <c r="K120" i="19"/>
  <c r="I121" i="19"/>
  <c r="J121" i="19"/>
  <c r="K121" i="19"/>
  <c r="I122" i="19"/>
  <c r="J122" i="19"/>
  <c r="K122" i="19"/>
  <c r="I123" i="19"/>
  <c r="J123" i="19"/>
  <c r="K123" i="19"/>
  <c r="I124" i="19"/>
  <c r="J124" i="19"/>
  <c r="K124" i="19"/>
  <c r="H112" i="19"/>
  <c r="H113" i="19"/>
  <c r="H114" i="19"/>
  <c r="H115" i="19"/>
  <c r="H116" i="19"/>
  <c r="H117" i="19"/>
  <c r="H118" i="19"/>
  <c r="H119" i="19"/>
  <c r="H120" i="19"/>
  <c r="H121" i="19"/>
  <c r="H122" i="19"/>
  <c r="H123" i="19"/>
  <c r="H124" i="19"/>
  <c r="H111" i="19"/>
  <c r="G132" i="19"/>
  <c r="G133" i="19"/>
  <c r="G134" i="19"/>
  <c r="G135" i="19"/>
  <c r="G136" i="19"/>
  <c r="G137" i="19"/>
  <c r="G138" i="19"/>
  <c r="G139" i="19"/>
  <c r="G140" i="19"/>
  <c r="G141" i="19"/>
  <c r="G142" i="19"/>
  <c r="G143" i="19"/>
  <c r="G144" i="19"/>
  <c r="G131" i="19"/>
  <c r="G112" i="19"/>
  <c r="G113" i="19"/>
  <c r="G114" i="19"/>
  <c r="G115" i="19"/>
  <c r="G116" i="19"/>
  <c r="G117" i="19"/>
  <c r="G118" i="19"/>
  <c r="G119" i="19"/>
  <c r="G120" i="19"/>
  <c r="G121" i="19"/>
  <c r="G122" i="19"/>
  <c r="G123" i="19"/>
  <c r="G124" i="19"/>
  <c r="G111" i="19"/>
  <c r="F132" i="19"/>
  <c r="F133" i="19"/>
  <c r="F134" i="19"/>
  <c r="F135" i="19"/>
  <c r="F136" i="19"/>
  <c r="F137" i="19"/>
  <c r="F138" i="19"/>
  <c r="F139" i="19"/>
  <c r="F140" i="19"/>
  <c r="F141" i="19"/>
  <c r="F142" i="19"/>
  <c r="F143" i="19"/>
  <c r="F144" i="19"/>
  <c r="F131" i="19"/>
  <c r="F112" i="19"/>
  <c r="F113" i="19"/>
  <c r="F114" i="19"/>
  <c r="F115" i="19"/>
  <c r="F116" i="19"/>
  <c r="F117" i="19"/>
  <c r="F118" i="19"/>
  <c r="F119" i="19"/>
  <c r="F120" i="19"/>
  <c r="F121" i="19"/>
  <c r="F122" i="19"/>
  <c r="F123" i="19"/>
  <c r="F124" i="19"/>
  <c r="F111" i="19"/>
  <c r="I49" i="19"/>
  <c r="J49" i="19"/>
  <c r="K49" i="19"/>
  <c r="I50" i="19"/>
  <c r="J50" i="19"/>
  <c r="K50" i="19"/>
  <c r="I51" i="19"/>
  <c r="J51" i="19"/>
  <c r="K51" i="19"/>
  <c r="I52" i="19"/>
  <c r="J52" i="19"/>
  <c r="K52" i="19"/>
  <c r="I53" i="19"/>
  <c r="J53" i="19"/>
  <c r="K53" i="19"/>
  <c r="I54" i="19"/>
  <c r="J54" i="19"/>
  <c r="K54" i="19"/>
  <c r="I55" i="19"/>
  <c r="J55" i="19"/>
  <c r="K55" i="19"/>
  <c r="I56" i="19"/>
  <c r="J56" i="19"/>
  <c r="K56" i="19"/>
  <c r="I57" i="19"/>
  <c r="J57" i="19"/>
  <c r="K57" i="19"/>
  <c r="I58" i="19"/>
  <c r="J58" i="19"/>
  <c r="K58" i="19"/>
  <c r="I59" i="19"/>
  <c r="J59" i="19"/>
  <c r="K59" i="19"/>
  <c r="H50" i="19"/>
  <c r="H51" i="19"/>
  <c r="H52" i="19"/>
  <c r="H53" i="19"/>
  <c r="H54" i="19"/>
  <c r="H55" i="19"/>
  <c r="H56" i="19"/>
  <c r="H57" i="19"/>
  <c r="H58" i="19"/>
  <c r="H59" i="19"/>
  <c r="H49" i="19"/>
  <c r="I29" i="19"/>
  <c r="J29" i="19"/>
  <c r="K29" i="19"/>
  <c r="I30" i="19"/>
  <c r="J30" i="19"/>
  <c r="K30" i="19"/>
  <c r="I31" i="19"/>
  <c r="J31" i="19"/>
  <c r="K31" i="19"/>
  <c r="I32" i="19"/>
  <c r="J32" i="19"/>
  <c r="K32" i="19"/>
  <c r="I33" i="19"/>
  <c r="J33" i="19"/>
  <c r="K33" i="19"/>
  <c r="I34" i="19"/>
  <c r="J34" i="19"/>
  <c r="K34" i="19"/>
  <c r="I35" i="19"/>
  <c r="J35" i="19"/>
  <c r="K35" i="19"/>
  <c r="I36" i="19"/>
  <c r="J36" i="19"/>
  <c r="K36" i="19"/>
  <c r="I37" i="19"/>
  <c r="J37" i="19"/>
  <c r="K37" i="19"/>
  <c r="I38" i="19"/>
  <c r="J38" i="19"/>
  <c r="K38" i="19"/>
  <c r="I39" i="19"/>
  <c r="J39" i="19"/>
  <c r="K39" i="19"/>
  <c r="H30" i="19"/>
  <c r="H31" i="19"/>
  <c r="H32" i="19"/>
  <c r="H33" i="19"/>
  <c r="H34" i="19"/>
  <c r="H35" i="19"/>
  <c r="H36" i="19"/>
  <c r="H37" i="19"/>
  <c r="H38" i="19"/>
  <c r="H39" i="19"/>
  <c r="H29" i="19"/>
  <c r="G50" i="19"/>
  <c r="G51" i="19"/>
  <c r="G52" i="19"/>
  <c r="G53" i="19"/>
  <c r="G54" i="19"/>
  <c r="G55" i="19"/>
  <c r="G56" i="19"/>
  <c r="G57" i="19"/>
  <c r="G58" i="19"/>
  <c r="G59" i="19"/>
  <c r="G49" i="19"/>
  <c r="G30" i="19"/>
  <c r="G31" i="19"/>
  <c r="G32" i="19"/>
  <c r="G33" i="19"/>
  <c r="G34" i="19"/>
  <c r="G35" i="19"/>
  <c r="G36" i="19"/>
  <c r="G37" i="19"/>
  <c r="G38" i="19"/>
  <c r="G39" i="19"/>
  <c r="G29" i="19"/>
  <c r="F50" i="19"/>
  <c r="F51" i="19"/>
  <c r="F52" i="19"/>
  <c r="F53" i="19"/>
  <c r="F54" i="19"/>
  <c r="F55" i="19"/>
  <c r="F56" i="19"/>
  <c r="F57" i="19"/>
  <c r="F58" i="19"/>
  <c r="F59" i="19"/>
  <c r="F49" i="19"/>
  <c r="F30" i="19"/>
  <c r="F31" i="19"/>
  <c r="F32" i="19"/>
  <c r="F33" i="19"/>
  <c r="F34" i="19"/>
  <c r="F35" i="19"/>
  <c r="F36" i="19"/>
  <c r="F37" i="19"/>
  <c r="F38" i="19"/>
  <c r="F39" i="19"/>
  <c r="F29" i="19"/>
  <c r="H263" i="15"/>
  <c r="I263" i="15"/>
  <c r="J263" i="15"/>
  <c r="G263" i="15"/>
  <c r="F263" i="15"/>
  <c r="G218" i="15"/>
  <c r="H218" i="15"/>
  <c r="G219" i="15"/>
  <c r="H219" i="15"/>
  <c r="I219" i="15"/>
  <c r="J219" i="15"/>
  <c r="G220" i="15"/>
  <c r="H220" i="15"/>
  <c r="I220" i="15"/>
  <c r="J220" i="15"/>
  <c r="G217" i="15"/>
  <c r="H217" i="15"/>
  <c r="F219" i="15"/>
  <c r="F220" i="15"/>
  <c r="F187" i="15"/>
  <c r="G187" i="15"/>
  <c r="H187" i="15"/>
  <c r="I187" i="15"/>
  <c r="J187" i="15"/>
  <c r="H186" i="15"/>
  <c r="I186" i="15"/>
  <c r="J186" i="15"/>
  <c r="G186" i="15"/>
  <c r="F186" i="15"/>
  <c r="H137" i="15"/>
  <c r="I137" i="15"/>
  <c r="J137" i="15"/>
  <c r="G137" i="15"/>
  <c r="G92" i="15"/>
  <c r="H92" i="15"/>
  <c r="I92" i="15"/>
  <c r="J92" i="15"/>
  <c r="G93" i="15"/>
  <c r="H93" i="15"/>
  <c r="I93" i="15"/>
  <c r="J93" i="15"/>
  <c r="G94" i="15"/>
  <c r="H94" i="15"/>
  <c r="I94" i="15"/>
  <c r="J94" i="15"/>
  <c r="H91" i="15"/>
  <c r="I91" i="15"/>
  <c r="J91" i="15"/>
  <c r="G91" i="15"/>
  <c r="G61" i="15"/>
  <c r="H61" i="15"/>
  <c r="I61" i="15"/>
  <c r="J61" i="15"/>
  <c r="H60" i="15"/>
  <c r="I60" i="15"/>
  <c r="J60" i="15"/>
  <c r="G60" i="15"/>
  <c r="J14" i="4"/>
  <c r="D14" i="4"/>
  <c r="J17" i="3"/>
  <c r="D17" i="3"/>
  <c r="D246" i="16"/>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98" i="13"/>
  <c r="L23" i="3"/>
  <c r="O118" i="21"/>
  <c r="N118" i="21"/>
  <c r="M118" i="21"/>
  <c r="L118" i="21"/>
  <c r="K118" i="21"/>
  <c r="J118" i="21"/>
  <c r="I118" i="21"/>
  <c r="H118" i="21"/>
  <c r="G118" i="21"/>
  <c r="F118" i="21"/>
  <c r="E118" i="21"/>
  <c r="O117" i="21"/>
  <c r="N117" i="21"/>
  <c r="M117" i="21"/>
  <c r="L117" i="21"/>
  <c r="K117" i="21"/>
  <c r="J117" i="21"/>
  <c r="I117" i="21"/>
  <c r="H117" i="21"/>
  <c r="G117" i="21"/>
  <c r="F117" i="21"/>
  <c r="E117" i="21"/>
  <c r="N113" i="21"/>
  <c r="M113" i="21"/>
  <c r="M115" i="21"/>
  <c r="L113" i="21"/>
  <c r="L115" i="21"/>
  <c r="K113" i="21"/>
  <c r="J113" i="21"/>
  <c r="I113" i="21"/>
  <c r="I115" i="21"/>
  <c r="H113" i="21"/>
  <c r="H114" i="21"/>
  <c r="G113" i="21"/>
  <c r="F113" i="21"/>
  <c r="F115" i="21"/>
  <c r="E113" i="21"/>
  <c r="D113" i="21"/>
  <c r="D115" i="21"/>
  <c r="P115" i="21"/>
  <c r="Q115" i="21"/>
  <c r="P112" i="21"/>
  <c r="Q112" i="21"/>
  <c r="O112" i="21"/>
  <c r="P111" i="21"/>
  <c r="Q111" i="21"/>
  <c r="O111" i="21"/>
  <c r="P110" i="21"/>
  <c r="Q110" i="21"/>
  <c r="O110" i="21"/>
  <c r="P109" i="21"/>
  <c r="Q109" i="21"/>
  <c r="O109" i="21"/>
  <c r="P108" i="21"/>
  <c r="Q108" i="21"/>
  <c r="O108" i="21"/>
  <c r="P107" i="21"/>
  <c r="Q107" i="21"/>
  <c r="O107" i="21"/>
  <c r="N102" i="21"/>
  <c r="N103" i="21"/>
  <c r="N115" i="21"/>
  <c r="M102" i="21"/>
  <c r="M103" i="21"/>
  <c r="L102" i="21"/>
  <c r="K102" i="21"/>
  <c r="K114" i="21"/>
  <c r="J102" i="21"/>
  <c r="J114" i="21"/>
  <c r="I102" i="21"/>
  <c r="I103" i="21"/>
  <c r="H102" i="21"/>
  <c r="H103" i="21"/>
  <c r="G102" i="21"/>
  <c r="G103" i="21"/>
  <c r="G115" i="21"/>
  <c r="F102" i="21"/>
  <c r="F103" i="21"/>
  <c r="E102" i="21"/>
  <c r="D102" i="21"/>
  <c r="P101" i="21"/>
  <c r="Q101" i="21"/>
  <c r="O101" i="21"/>
  <c r="P99" i="21"/>
  <c r="Q99" i="21"/>
  <c r="O99" i="21"/>
  <c r="P98" i="21"/>
  <c r="Q98" i="21"/>
  <c r="O98" i="21"/>
  <c r="P97" i="21"/>
  <c r="Q97" i="21"/>
  <c r="O97" i="21"/>
  <c r="P96" i="21"/>
  <c r="Q96" i="21"/>
  <c r="O96" i="21"/>
  <c r="P95" i="21"/>
  <c r="Q95" i="21"/>
  <c r="O95" i="21"/>
  <c r="P94" i="21"/>
  <c r="Q94" i="21"/>
  <c r="O94" i="21"/>
  <c r="F17" i="14"/>
  <c r="E45" i="13"/>
  <c r="G45" i="13"/>
  <c r="C24" i="22"/>
  <c r="C25" i="22"/>
  <c r="C26" i="22"/>
  <c r="C47" i="13"/>
  <c r="C86" i="13"/>
  <c r="C27" i="22"/>
  <c r="C28" i="22"/>
  <c r="C29" i="22"/>
  <c r="C30" i="22"/>
  <c r="C23" i="22"/>
  <c r="O3" i="13"/>
  <c r="G248" i="16"/>
  <c r="G247" i="16"/>
  <c r="B203" i="16"/>
  <c r="G244" i="16"/>
  <c r="G243" i="16"/>
  <c r="D243" i="16"/>
  <c r="F24" i="22"/>
  <c r="F23" i="22"/>
  <c r="E24" i="22"/>
  <c r="B111" i="16"/>
  <c r="E25" i="22"/>
  <c r="E26" i="22"/>
  <c r="E27" i="22"/>
  <c r="H27" i="22"/>
  <c r="E28" i="22"/>
  <c r="E29" i="22"/>
  <c r="H29" i="22"/>
  <c r="J128" i="13"/>
  <c r="E30" i="22"/>
  <c r="H30" i="22"/>
  <c r="E23" i="22"/>
  <c r="B6" i="3"/>
  <c r="D24" i="22"/>
  <c r="D25" i="22"/>
  <c r="D26" i="22"/>
  <c r="D27" i="22"/>
  <c r="D28" i="22"/>
  <c r="D29" i="22"/>
  <c r="D30" i="22"/>
  <c r="D23" i="22"/>
  <c r="D23" i="16"/>
  <c r="B13" i="16"/>
  <c r="I5" i="22"/>
  <c r="J5" i="22"/>
  <c r="K5" i="22"/>
  <c r="L5" i="22"/>
  <c r="M5" i="22"/>
  <c r="N5" i="22"/>
  <c r="O5" i="22"/>
  <c r="P5" i="22"/>
  <c r="Q5" i="22"/>
  <c r="R5" i="22"/>
  <c r="S5" i="22"/>
  <c r="T5" i="22"/>
  <c r="U5" i="22"/>
  <c r="V5" i="22"/>
  <c r="W5" i="22"/>
  <c r="X5" i="22"/>
  <c r="Y5" i="22"/>
  <c r="Z5" i="22"/>
  <c r="AA5" i="22"/>
  <c r="AB5" i="22"/>
  <c r="AC5" i="22"/>
  <c r="AD5" i="22"/>
  <c r="AE5" i="22"/>
  <c r="AF5" i="22"/>
  <c r="AG5" i="22"/>
  <c r="AH5" i="22"/>
  <c r="AI5" i="22"/>
  <c r="AJ5" i="22"/>
  <c r="AK5" i="22"/>
  <c r="AL5" i="22"/>
  <c r="AM5" i="22"/>
  <c r="AN5" i="22"/>
  <c r="AO5" i="22"/>
  <c r="AP5" i="22"/>
  <c r="AQ5" i="22"/>
  <c r="AR5" i="22"/>
  <c r="AS5" i="22"/>
  <c r="AT5" i="22"/>
  <c r="G39" i="4"/>
  <c r="G40" i="4"/>
  <c r="G41" i="4"/>
  <c r="G42" i="4"/>
  <c r="G43" i="4"/>
  <c r="G44" i="4"/>
  <c r="G45" i="4"/>
  <c r="G46" i="4"/>
  <c r="N39" i="18"/>
  <c r="H12" i="14"/>
  <c r="D90" i="19"/>
  <c r="D20" i="18"/>
  <c r="E19" i="18"/>
  <c r="F19" i="18"/>
  <c r="G19" i="18"/>
  <c r="G81" i="4"/>
  <c r="G80" i="4"/>
  <c r="G79" i="4"/>
  <c r="G78" i="4"/>
  <c r="G77" i="4"/>
  <c r="G76" i="4"/>
  <c r="G75" i="4"/>
  <c r="G74" i="4"/>
  <c r="G73" i="4"/>
  <c r="G72" i="4"/>
  <c r="G70" i="4"/>
  <c r="G69" i="4"/>
  <c r="G68" i="4"/>
  <c r="G67" i="4"/>
  <c r="G66" i="4"/>
  <c r="G65" i="4"/>
  <c r="G64" i="4"/>
  <c r="G63" i="4"/>
  <c r="G19" i="4"/>
  <c r="G20" i="4"/>
  <c r="G21" i="4"/>
  <c r="G22" i="4"/>
  <c r="G23" i="4"/>
  <c r="G24" i="4"/>
  <c r="G25" i="4"/>
  <c r="G26" i="4"/>
  <c r="G27" i="4"/>
  <c r="G28" i="4"/>
  <c r="G29" i="4"/>
  <c r="G30" i="4"/>
  <c r="G31" i="4"/>
  <c r="G32" i="4"/>
  <c r="G33" i="4"/>
  <c r="G84" i="3"/>
  <c r="G83" i="3"/>
  <c r="G82" i="3"/>
  <c r="G81" i="3"/>
  <c r="G80" i="3"/>
  <c r="G79" i="3"/>
  <c r="G78" i="3"/>
  <c r="G77" i="3"/>
  <c r="G76" i="3"/>
  <c r="G75" i="3"/>
  <c r="G73" i="3"/>
  <c r="G72" i="3"/>
  <c r="G71" i="3"/>
  <c r="G70" i="3"/>
  <c r="G69" i="3"/>
  <c r="G68" i="3"/>
  <c r="G67" i="3"/>
  <c r="G66" i="3"/>
  <c r="G62" i="3"/>
  <c r="G61" i="3"/>
  <c r="G60" i="3"/>
  <c r="G59" i="3"/>
  <c r="G58" i="3"/>
  <c r="G57" i="3"/>
  <c r="G56" i="3"/>
  <c r="G55" i="3"/>
  <c r="G54" i="3"/>
  <c r="G53" i="3"/>
  <c r="G52" i="3"/>
  <c r="G51" i="3"/>
  <c r="G50" i="3"/>
  <c r="G49" i="3"/>
  <c r="G48" i="3"/>
  <c r="G47" i="3"/>
  <c r="G46" i="3"/>
  <c r="G45" i="3"/>
  <c r="G44" i="3"/>
  <c r="G43" i="3"/>
  <c r="G42" i="3"/>
  <c r="G20" i="3"/>
  <c r="G21" i="3"/>
  <c r="G22" i="3"/>
  <c r="G23" i="3"/>
  <c r="G24" i="3"/>
  <c r="G25" i="3"/>
  <c r="G26" i="3"/>
  <c r="G27" i="3"/>
  <c r="G28" i="3"/>
  <c r="G29" i="3"/>
  <c r="G30" i="3"/>
  <c r="G31" i="3"/>
  <c r="G32" i="3"/>
  <c r="G33" i="3"/>
  <c r="G34" i="3"/>
  <c r="G35" i="3"/>
  <c r="G36" i="3"/>
  <c r="E128" i="21"/>
  <c r="J80" i="21"/>
  <c r="M69" i="21"/>
  <c r="M70" i="21"/>
  <c r="E47" i="21"/>
  <c r="F47" i="21"/>
  <c r="H47" i="21"/>
  <c r="I47" i="21"/>
  <c r="J47" i="21"/>
  <c r="K47" i="21"/>
  <c r="L47" i="21"/>
  <c r="M47" i="21"/>
  <c r="N47" i="21"/>
  <c r="D47" i="21"/>
  <c r="AQ140" i="19"/>
  <c r="AR140" i="19"/>
  <c r="AM143" i="19"/>
  <c r="AN143" i="19"/>
  <c r="W135" i="19"/>
  <c r="X135" i="19"/>
  <c r="W142" i="19"/>
  <c r="X142" i="19"/>
  <c r="W143" i="19"/>
  <c r="X143" i="19"/>
  <c r="AI70" i="19"/>
  <c r="AQ70" i="19"/>
  <c r="AI71" i="19"/>
  <c r="AQ71" i="19"/>
  <c r="AI72" i="19"/>
  <c r="AQ72" i="19"/>
  <c r="AI90" i="19"/>
  <c r="AJ90" i="19"/>
  <c r="AQ90" i="19"/>
  <c r="AI91" i="19"/>
  <c r="AM91" i="19"/>
  <c r="AM92" i="19"/>
  <c r="W93" i="19"/>
  <c r="Y93" i="19"/>
  <c r="AQ111" i="19"/>
  <c r="AR111" i="19"/>
  <c r="AM112" i="19"/>
  <c r="AO112" i="19"/>
  <c r="AP112" i="19"/>
  <c r="AQ113" i="19"/>
  <c r="AI114" i="19"/>
  <c r="AQ114" i="19"/>
  <c r="AQ115" i="19"/>
  <c r="AI116" i="19"/>
  <c r="AJ116" i="19"/>
  <c r="AQ116" i="19"/>
  <c r="AM117" i="19"/>
  <c r="AM118" i="19"/>
  <c r="AQ119" i="19"/>
  <c r="AR119" i="19"/>
  <c r="AI120" i="19"/>
  <c r="AJ120" i="19"/>
  <c r="AQ120" i="19"/>
  <c r="AQ121" i="19"/>
  <c r="AM122" i="19"/>
  <c r="AI123" i="19"/>
  <c r="AJ123" i="19"/>
  <c r="AQ123" i="19"/>
  <c r="AM124" i="19"/>
  <c r="AO124" i="19"/>
  <c r="W115" i="19"/>
  <c r="X115" i="19"/>
  <c r="W119" i="19"/>
  <c r="W123" i="19"/>
  <c r="X123" i="19"/>
  <c r="T375" i="15"/>
  <c r="AJ377" i="15"/>
  <c r="T379" i="15"/>
  <c r="V379" i="15"/>
  <c r="W379" i="15"/>
  <c r="AB381" i="15"/>
  <c r="AJ381" i="15"/>
  <c r="X386" i="15"/>
  <c r="P376" i="15"/>
  <c r="R376" i="15"/>
  <c r="S376" i="15"/>
  <c r="P377" i="15"/>
  <c r="Q377" i="15"/>
  <c r="P380" i="15"/>
  <c r="R380" i="15"/>
  <c r="S380" i="15"/>
  <c r="P381" i="15"/>
  <c r="P384" i="15"/>
  <c r="R384" i="15"/>
  <c r="Q384" i="15"/>
  <c r="X347" i="15"/>
  <c r="Z347" i="15"/>
  <c r="AA347" i="15"/>
  <c r="P348" i="15"/>
  <c r="Q348" i="15"/>
  <c r="P350" i="15"/>
  <c r="R350" i="15"/>
  <c r="S350" i="15"/>
  <c r="X351" i="15"/>
  <c r="Y351" i="15"/>
  <c r="X355" i="15"/>
  <c r="Y355" i="15"/>
  <c r="X357" i="15"/>
  <c r="P358" i="15"/>
  <c r="Q358" i="15"/>
  <c r="N351" i="15"/>
  <c r="O351" i="15"/>
  <c r="N354" i="15"/>
  <c r="O354" i="15"/>
  <c r="N355" i="15"/>
  <c r="O355" i="15"/>
  <c r="N357" i="15"/>
  <c r="O357" i="15"/>
  <c r="T264" i="15"/>
  <c r="X264" i="15"/>
  <c r="T219" i="15"/>
  <c r="U219" i="15"/>
  <c r="X187" i="15"/>
  <c r="H545" i="15"/>
  <c r="P187" i="15"/>
  <c r="P189" i="15"/>
  <c r="Q189" i="15"/>
  <c r="F158" i="21"/>
  <c r="G158" i="21"/>
  <c r="H158" i="21"/>
  <c r="I158" i="21"/>
  <c r="J158" i="21"/>
  <c r="K158" i="21"/>
  <c r="L158" i="21"/>
  <c r="M158" i="21"/>
  <c r="F159" i="21"/>
  <c r="G159" i="21"/>
  <c r="H159" i="21"/>
  <c r="I159" i="21"/>
  <c r="J159" i="21"/>
  <c r="K159" i="21"/>
  <c r="L159" i="21"/>
  <c r="M159" i="21"/>
  <c r="N158" i="21"/>
  <c r="N159" i="21"/>
  <c r="E159" i="21"/>
  <c r="E158" i="21"/>
  <c r="F80" i="21"/>
  <c r="I80" i="21"/>
  <c r="I81" i="21"/>
  <c r="N80" i="21"/>
  <c r="D80" i="21"/>
  <c r="D69" i="21"/>
  <c r="O85" i="21"/>
  <c r="O52" i="21"/>
  <c r="O152" i="21"/>
  <c r="O84" i="21"/>
  <c r="L81" i="4"/>
  <c r="AM45" i="15"/>
  <c r="AL27" i="15"/>
  <c r="AM27" i="15"/>
  <c r="AL32" i="15"/>
  <c r="AM32" i="15"/>
  <c r="AL35" i="15"/>
  <c r="AM35" i="15"/>
  <c r="AL43" i="15"/>
  <c r="AM43" i="15"/>
  <c r="AL48" i="15"/>
  <c r="AM48" i="15"/>
  <c r="AL51" i="15"/>
  <c r="AM51" i="15"/>
  <c r="AK27" i="15"/>
  <c r="AK35" i="15"/>
  <c r="AK45" i="15"/>
  <c r="AK46" i="15"/>
  <c r="AJ25" i="15"/>
  <c r="AJ26" i="15"/>
  <c r="AK26" i="15"/>
  <c r="AJ27" i="15"/>
  <c r="AJ28" i="15"/>
  <c r="AL28" i="15"/>
  <c r="AM28" i="15"/>
  <c r="AJ29" i="15"/>
  <c r="AL29" i="15"/>
  <c r="AM29" i="15"/>
  <c r="AJ30" i="15"/>
  <c r="AK30" i="15"/>
  <c r="AJ31" i="15"/>
  <c r="AK31" i="15"/>
  <c r="AJ32" i="15"/>
  <c r="AK32" i="15"/>
  <c r="AJ33" i="15"/>
  <c r="AJ34" i="15"/>
  <c r="AJ35" i="15"/>
  <c r="AJ36" i="15"/>
  <c r="AL36" i="15"/>
  <c r="AM36" i="15"/>
  <c r="AJ37" i="15"/>
  <c r="AL37" i="15"/>
  <c r="AM37" i="15"/>
  <c r="AJ38" i="15"/>
  <c r="AL38" i="15"/>
  <c r="AM38" i="15"/>
  <c r="AJ39" i="15"/>
  <c r="AK39" i="15"/>
  <c r="AJ40" i="15"/>
  <c r="AK40" i="15"/>
  <c r="AJ41" i="15"/>
  <c r="AJ42" i="15"/>
  <c r="AK42" i="15"/>
  <c r="AJ43" i="15"/>
  <c r="AK43" i="15"/>
  <c r="AJ44" i="15"/>
  <c r="AL44" i="15"/>
  <c r="AM44" i="15"/>
  <c r="AJ45" i="15"/>
  <c r="AL45" i="15"/>
  <c r="AJ46" i="15"/>
  <c r="AL46" i="15"/>
  <c r="AM46" i="15"/>
  <c r="AJ47" i="15"/>
  <c r="AK47" i="15"/>
  <c r="AJ48" i="15"/>
  <c r="AK48" i="15"/>
  <c r="AJ49" i="15"/>
  <c r="AJ50" i="15"/>
  <c r="AJ51" i="15"/>
  <c r="AK51" i="15"/>
  <c r="AJ52" i="15"/>
  <c r="AL52" i="15"/>
  <c r="AM52" i="15"/>
  <c r="AH25" i="15"/>
  <c r="AI25" i="15"/>
  <c r="AH32" i="15"/>
  <c r="AI32" i="15"/>
  <c r="AH39" i="15"/>
  <c r="AI39" i="15"/>
  <c r="AH40" i="15"/>
  <c r="AI40" i="15"/>
  <c r="AH49" i="15"/>
  <c r="AI49" i="15"/>
  <c r="AG32" i="15"/>
  <c r="AG34" i="15"/>
  <c r="AG35" i="15"/>
  <c r="AG40" i="15"/>
  <c r="AG42" i="15"/>
  <c r="AG44" i="15"/>
  <c r="AG50" i="15"/>
  <c r="AF25" i="15"/>
  <c r="AG25" i="15"/>
  <c r="AF26" i="15"/>
  <c r="AG26" i="15"/>
  <c r="AF27" i="15"/>
  <c r="AH27" i="15"/>
  <c r="AI27" i="15"/>
  <c r="AF28" i="15"/>
  <c r="AG28" i="15"/>
  <c r="AH28" i="15"/>
  <c r="AI28" i="15"/>
  <c r="AF29" i="15"/>
  <c r="AF30" i="15"/>
  <c r="AF31" i="15"/>
  <c r="AF32" i="15"/>
  <c r="AF33" i="15"/>
  <c r="AG33" i="15"/>
  <c r="AF34" i="15"/>
  <c r="AH34" i="15"/>
  <c r="AI34" i="15"/>
  <c r="AF35" i="15"/>
  <c r="AH35" i="15"/>
  <c r="AI35" i="15"/>
  <c r="AF36" i="15"/>
  <c r="AF37" i="15"/>
  <c r="AF38" i="15"/>
  <c r="AF39" i="15"/>
  <c r="AG39" i="15"/>
  <c r="AF40" i="15"/>
  <c r="AF41" i="15"/>
  <c r="AG41" i="15"/>
  <c r="AF42" i="15"/>
  <c r="AH42" i="15"/>
  <c r="AI42" i="15"/>
  <c r="AF43" i="15"/>
  <c r="AH43" i="15"/>
  <c r="AI43" i="15"/>
  <c r="AF44" i="15"/>
  <c r="AH44" i="15"/>
  <c r="AI44" i="15"/>
  <c r="AF45" i="15"/>
  <c r="AF46" i="15"/>
  <c r="AF47" i="15"/>
  <c r="AF48" i="15"/>
  <c r="AG48" i="15"/>
  <c r="AF49" i="15"/>
  <c r="AG49" i="15"/>
  <c r="AF50" i="15"/>
  <c r="AH50" i="15"/>
  <c r="AI50" i="15"/>
  <c r="AF51" i="15"/>
  <c r="AH51" i="15"/>
  <c r="AI51" i="15"/>
  <c r="AF52" i="15"/>
  <c r="AG52" i="15"/>
  <c r="AF53" i="15"/>
  <c r="AE38" i="15"/>
  <c r="AD25" i="15"/>
  <c r="AE25" i="15"/>
  <c r="AE27" i="15"/>
  <c r="AD35" i="15"/>
  <c r="AE35" i="15"/>
  <c r="AD37" i="15"/>
  <c r="AE37" i="15"/>
  <c r="AE44" i="15"/>
  <c r="AD45" i="15"/>
  <c r="AE45" i="15"/>
  <c r="AD52" i="15"/>
  <c r="AE52" i="15"/>
  <c r="AE53" i="15"/>
  <c r="AC30" i="15"/>
  <c r="AC36" i="15"/>
  <c r="AC38" i="15"/>
  <c r="AC44" i="15"/>
  <c r="AB25" i="15"/>
  <c r="AC25" i="15"/>
  <c r="AB26" i="15"/>
  <c r="AB27" i="15"/>
  <c r="AD27" i="15"/>
  <c r="AC27" i="15"/>
  <c r="AB28" i="15"/>
  <c r="AC28" i="15"/>
  <c r="AB29" i="15"/>
  <c r="AB30" i="15"/>
  <c r="AD30" i="15"/>
  <c r="AE30" i="15"/>
  <c r="AB31" i="15"/>
  <c r="AB32" i="15"/>
  <c r="AC32" i="15"/>
  <c r="AB33" i="15"/>
  <c r="AC33" i="15"/>
  <c r="AB34" i="15"/>
  <c r="AB35" i="15"/>
  <c r="AC35" i="15"/>
  <c r="AB36" i="15"/>
  <c r="AD36" i="15"/>
  <c r="AE36" i="15"/>
  <c r="AB37" i="15"/>
  <c r="AC37" i="15"/>
  <c r="AB38" i="15"/>
  <c r="AD38" i="15"/>
  <c r="AB39" i="15"/>
  <c r="AC39" i="15"/>
  <c r="AB40" i="15"/>
  <c r="AC40" i="15"/>
  <c r="AD40" i="15"/>
  <c r="AE40" i="15"/>
  <c r="AB41" i="15"/>
  <c r="AD41" i="15"/>
  <c r="AE41" i="15"/>
  <c r="AC41" i="15"/>
  <c r="AB42" i="15"/>
  <c r="AB43" i="15"/>
  <c r="AD43" i="15"/>
  <c r="AE43" i="15"/>
  <c r="AB44" i="15"/>
  <c r="AD44" i="15"/>
  <c r="AB45" i="15"/>
  <c r="AC45" i="15"/>
  <c r="AB46" i="15"/>
  <c r="AC46" i="15"/>
  <c r="AD46" i="15"/>
  <c r="AE46" i="15"/>
  <c r="AB47" i="15"/>
  <c r="AB48" i="15"/>
  <c r="AC48" i="15"/>
  <c r="AB49" i="15"/>
  <c r="AC49" i="15"/>
  <c r="AB50" i="15"/>
  <c r="AB51" i="15"/>
  <c r="AB52" i="15"/>
  <c r="AC52" i="15"/>
  <c r="AB53" i="15"/>
  <c r="AD53" i="15"/>
  <c r="AC53" i="15"/>
  <c r="AA42" i="15"/>
  <c r="AA50" i="15"/>
  <c r="Z37" i="15"/>
  <c r="AA37" i="15"/>
  <c r="AA41" i="15"/>
  <c r="Z42" i="15"/>
  <c r="Z47" i="15"/>
  <c r="AA47" i="15"/>
  <c r="Z50" i="15"/>
  <c r="Y28" i="15"/>
  <c r="Y35" i="15"/>
  <c r="Y42" i="15"/>
  <c r="Y44" i="15"/>
  <c r="Y48" i="15"/>
  <c r="X25" i="15"/>
  <c r="Y25" i="15"/>
  <c r="X26" i="15"/>
  <c r="Z26" i="15"/>
  <c r="AA26" i="15"/>
  <c r="X27" i="15"/>
  <c r="Z27" i="15"/>
  <c r="AA27" i="15"/>
  <c r="X28" i="15"/>
  <c r="Z28" i="15"/>
  <c r="AA28" i="15"/>
  <c r="X29" i="15"/>
  <c r="X30" i="15"/>
  <c r="X31" i="15"/>
  <c r="X32" i="15"/>
  <c r="Y32" i="15"/>
  <c r="X33" i="15"/>
  <c r="Y33" i="15"/>
  <c r="X34" i="15"/>
  <c r="Z34" i="15"/>
  <c r="AA34" i="15"/>
  <c r="X35" i="15"/>
  <c r="Z35" i="15"/>
  <c r="AA35" i="15"/>
  <c r="X36" i="15"/>
  <c r="Y36" i="15"/>
  <c r="Z36" i="15"/>
  <c r="AA36" i="15"/>
  <c r="X37" i="15"/>
  <c r="Y37" i="15"/>
  <c r="X38" i="15"/>
  <c r="X39" i="15"/>
  <c r="X40" i="15"/>
  <c r="Y40" i="15"/>
  <c r="X41" i="15"/>
  <c r="Z41" i="15"/>
  <c r="Y41" i="15"/>
  <c r="X42" i="15"/>
  <c r="X43" i="15"/>
  <c r="Z43" i="15"/>
  <c r="AA43" i="15"/>
  <c r="X44" i="15"/>
  <c r="Z44" i="15"/>
  <c r="AA44" i="15"/>
  <c r="X45" i="15"/>
  <c r="X46" i="15"/>
  <c r="X47" i="15"/>
  <c r="Y47" i="15"/>
  <c r="X48" i="15"/>
  <c r="Z48" i="15"/>
  <c r="AA48" i="15"/>
  <c r="X49" i="15"/>
  <c r="Y49" i="15"/>
  <c r="X50" i="15"/>
  <c r="Y50" i="15"/>
  <c r="X51" i="15"/>
  <c r="Y51" i="15"/>
  <c r="X52" i="15"/>
  <c r="Y52" i="15"/>
  <c r="X53" i="15"/>
  <c r="W42" i="15"/>
  <c r="V28" i="15"/>
  <c r="W28" i="15"/>
  <c r="V30" i="15"/>
  <c r="W30" i="15"/>
  <c r="V38" i="15"/>
  <c r="W38" i="15"/>
  <c r="U30" i="15"/>
  <c r="U38" i="15"/>
  <c r="U50" i="15"/>
  <c r="T25" i="15"/>
  <c r="V25" i="15"/>
  <c r="W25" i="15"/>
  <c r="T26" i="15"/>
  <c r="U26" i="15"/>
  <c r="T27" i="15"/>
  <c r="T28" i="15"/>
  <c r="U28" i="15"/>
  <c r="T29" i="15"/>
  <c r="T30" i="15"/>
  <c r="T31" i="15"/>
  <c r="V31" i="15"/>
  <c r="W31" i="15"/>
  <c r="T32" i="15"/>
  <c r="T33" i="15"/>
  <c r="U33" i="15"/>
  <c r="T34" i="15"/>
  <c r="U34" i="15"/>
  <c r="V34" i="15"/>
  <c r="W34" i="15"/>
  <c r="T35" i="15"/>
  <c r="U35" i="15"/>
  <c r="T36" i="15"/>
  <c r="V36" i="15"/>
  <c r="W36" i="15"/>
  <c r="T37" i="15"/>
  <c r="T38" i="15"/>
  <c r="T39" i="15"/>
  <c r="U39" i="15"/>
  <c r="T40" i="15"/>
  <c r="T41" i="15"/>
  <c r="V41" i="15"/>
  <c r="W41" i="15"/>
  <c r="T42" i="15"/>
  <c r="V42" i="15"/>
  <c r="T43" i="15"/>
  <c r="V43" i="15"/>
  <c r="W43" i="15"/>
  <c r="U43" i="15"/>
  <c r="T44" i="15"/>
  <c r="U44" i="15"/>
  <c r="V44" i="15"/>
  <c r="W44" i="15"/>
  <c r="T45" i="15"/>
  <c r="V45" i="15"/>
  <c r="W45" i="15"/>
  <c r="T46" i="15"/>
  <c r="U46" i="15"/>
  <c r="T47" i="15"/>
  <c r="U47" i="15"/>
  <c r="T48" i="15"/>
  <c r="T49" i="15"/>
  <c r="U49" i="15"/>
  <c r="T50" i="15"/>
  <c r="V50" i="15"/>
  <c r="W50" i="15"/>
  <c r="T51" i="15"/>
  <c r="T52" i="15"/>
  <c r="V52" i="15"/>
  <c r="W52" i="15"/>
  <c r="T53" i="15"/>
  <c r="S52" i="15"/>
  <c r="S32" i="15"/>
  <c r="Q25" i="15"/>
  <c r="Q28" i="15"/>
  <c r="Q32" i="15"/>
  <c r="Q34" i="15"/>
  <c r="Q41" i="15"/>
  <c r="Q45" i="15"/>
  <c r="Q50" i="15"/>
  <c r="P25" i="15"/>
  <c r="R25" i="15"/>
  <c r="S25" i="15"/>
  <c r="P26" i="15"/>
  <c r="R26" i="15"/>
  <c r="S26" i="15"/>
  <c r="P27" i="15"/>
  <c r="P28" i="15"/>
  <c r="R28" i="15"/>
  <c r="S28" i="15"/>
  <c r="P29" i="15"/>
  <c r="P30" i="15"/>
  <c r="P31" i="15"/>
  <c r="Q31" i="15"/>
  <c r="P32" i="15"/>
  <c r="R32" i="15"/>
  <c r="P33" i="15"/>
  <c r="P34" i="15"/>
  <c r="R34" i="15"/>
  <c r="S34" i="15"/>
  <c r="P35" i="15"/>
  <c r="P36" i="15"/>
  <c r="R36" i="15"/>
  <c r="S36" i="15"/>
  <c r="P37" i="15"/>
  <c r="Q37" i="15"/>
  <c r="R37" i="15"/>
  <c r="S37" i="15"/>
  <c r="P38" i="15"/>
  <c r="P39" i="15"/>
  <c r="Q39" i="15"/>
  <c r="P40" i="15"/>
  <c r="R40" i="15"/>
  <c r="S40" i="15"/>
  <c r="P41" i="15"/>
  <c r="R41" i="15"/>
  <c r="S41" i="15"/>
  <c r="P42" i="15"/>
  <c r="R42" i="15"/>
  <c r="S42" i="15"/>
  <c r="P43" i="15"/>
  <c r="P44" i="15"/>
  <c r="R44" i="15"/>
  <c r="S44" i="15"/>
  <c r="P45" i="15"/>
  <c r="R45" i="15"/>
  <c r="S45" i="15"/>
  <c r="P46" i="15"/>
  <c r="R46" i="15"/>
  <c r="S46" i="15"/>
  <c r="P47" i="15"/>
  <c r="Q47" i="15"/>
  <c r="R47" i="15"/>
  <c r="S47" i="15"/>
  <c r="P48" i="15"/>
  <c r="Q48" i="15"/>
  <c r="P49" i="15"/>
  <c r="Q49" i="15"/>
  <c r="R49" i="15"/>
  <c r="S49" i="15"/>
  <c r="P50" i="15"/>
  <c r="R50" i="15"/>
  <c r="S50" i="15"/>
  <c r="P51" i="15"/>
  <c r="Q51" i="15"/>
  <c r="P52" i="15"/>
  <c r="R52" i="15"/>
  <c r="P53" i="15"/>
  <c r="O35" i="15"/>
  <c r="O45" i="15"/>
  <c r="O53" i="15"/>
  <c r="N25" i="15"/>
  <c r="O25" i="15"/>
  <c r="N26" i="15"/>
  <c r="O26" i="15"/>
  <c r="N27" i="15"/>
  <c r="O27" i="15"/>
  <c r="N28" i="15"/>
  <c r="O28" i="15"/>
  <c r="N29" i="15"/>
  <c r="O29" i="15"/>
  <c r="N30" i="15"/>
  <c r="O30" i="15"/>
  <c r="N31" i="15"/>
  <c r="O31" i="15"/>
  <c r="N32" i="15"/>
  <c r="O32" i="15"/>
  <c r="N33" i="15"/>
  <c r="O33" i="15"/>
  <c r="N34" i="15"/>
  <c r="O34" i="15"/>
  <c r="N35" i="15"/>
  <c r="N36" i="15"/>
  <c r="O36" i="15"/>
  <c r="N37" i="15"/>
  <c r="O37" i="15"/>
  <c r="N38" i="15"/>
  <c r="O38" i="15"/>
  <c r="N39" i="15"/>
  <c r="O39" i="15"/>
  <c r="N40" i="15"/>
  <c r="O40" i="15"/>
  <c r="N41" i="15"/>
  <c r="O41" i="15"/>
  <c r="N42" i="15"/>
  <c r="O42" i="15"/>
  <c r="N43" i="15"/>
  <c r="O43" i="15"/>
  <c r="N44" i="15"/>
  <c r="O44" i="15"/>
  <c r="N45" i="15"/>
  <c r="N46" i="15"/>
  <c r="O46" i="15"/>
  <c r="N47" i="15"/>
  <c r="O47" i="15"/>
  <c r="N48" i="15"/>
  <c r="O48" i="15"/>
  <c r="N49" i="15"/>
  <c r="O49" i="15"/>
  <c r="N50" i="15"/>
  <c r="O50" i="15"/>
  <c r="N51" i="15"/>
  <c r="O51" i="15"/>
  <c r="N52" i="15"/>
  <c r="O52" i="15"/>
  <c r="N53" i="15"/>
  <c r="D100" i="18"/>
  <c r="N90" i="18"/>
  <c r="N91" i="18"/>
  <c r="N92" i="18"/>
  <c r="N93" i="18"/>
  <c r="N94" i="18"/>
  <c r="N95" i="18"/>
  <c r="N96" i="18"/>
  <c r="N97" i="18"/>
  <c r="N98" i="18"/>
  <c r="N71" i="18"/>
  <c r="N72" i="18"/>
  <c r="N73" i="18"/>
  <c r="N74" i="18"/>
  <c r="N75" i="18"/>
  <c r="N76" i="18"/>
  <c r="N77" i="18"/>
  <c r="N78" i="18"/>
  <c r="N79" i="18"/>
  <c r="N80" i="18"/>
  <c r="N81" i="18"/>
  <c r="N82" i="18"/>
  <c r="N83" i="18"/>
  <c r="N84" i="18"/>
  <c r="N52" i="18"/>
  <c r="N53" i="18"/>
  <c r="N54" i="18"/>
  <c r="N55" i="18"/>
  <c r="N56" i="18"/>
  <c r="N57" i="18"/>
  <c r="N58" i="18"/>
  <c r="N59" i="18"/>
  <c r="N60" i="18"/>
  <c r="N61" i="18"/>
  <c r="N62" i="18"/>
  <c r="N63" i="18"/>
  <c r="N64" i="18"/>
  <c r="N65" i="18"/>
  <c r="N36" i="18"/>
  <c r="N38" i="18"/>
  <c r="N40" i="18"/>
  <c r="N41" i="18"/>
  <c r="N42" i="18"/>
  <c r="N43" i="18"/>
  <c r="N44" i="18"/>
  <c r="N45" i="18"/>
  <c r="N46" i="18"/>
  <c r="N47" i="18"/>
  <c r="N48" i="18"/>
  <c r="N49" i="18"/>
  <c r="N50" i="18"/>
  <c r="I447" i="15"/>
  <c r="C652" i="15"/>
  <c r="C653" i="15"/>
  <c r="C654" i="15"/>
  <c r="C655" i="15"/>
  <c r="C656" i="15"/>
  <c r="C657" i="15"/>
  <c r="C658" i="15"/>
  <c r="C659" i="15"/>
  <c r="C660" i="15"/>
  <c r="C642" i="15"/>
  <c r="C643" i="15"/>
  <c r="C644" i="15"/>
  <c r="C645" i="15"/>
  <c r="C646" i="15"/>
  <c r="C647" i="15"/>
  <c r="C648" i="15"/>
  <c r="C649" i="15"/>
  <c r="C650" i="15"/>
  <c r="C631" i="15"/>
  <c r="C632" i="15"/>
  <c r="C633" i="15"/>
  <c r="C634" i="15"/>
  <c r="C635" i="15"/>
  <c r="C636" i="15"/>
  <c r="C637" i="15"/>
  <c r="C638" i="15"/>
  <c r="C639" i="15"/>
  <c r="C621" i="15"/>
  <c r="C622" i="15"/>
  <c r="C623" i="15"/>
  <c r="C624" i="15"/>
  <c r="C625" i="15"/>
  <c r="C626" i="15"/>
  <c r="C627" i="15"/>
  <c r="C628" i="15"/>
  <c r="C629" i="15"/>
  <c r="C528" i="15"/>
  <c r="C529" i="15"/>
  <c r="C530" i="15"/>
  <c r="C531" i="15"/>
  <c r="C532" i="15"/>
  <c r="C533" i="15"/>
  <c r="C534" i="15"/>
  <c r="C535" i="15"/>
  <c r="C536" i="15"/>
  <c r="C518" i="15"/>
  <c r="C519" i="15"/>
  <c r="C520" i="15"/>
  <c r="C521" i="15"/>
  <c r="C522" i="15"/>
  <c r="C523" i="15"/>
  <c r="C524" i="15"/>
  <c r="C525" i="15"/>
  <c r="C526" i="15"/>
  <c r="C515" i="15"/>
  <c r="C507" i="15"/>
  <c r="C508" i="15"/>
  <c r="C509" i="15"/>
  <c r="C510" i="15"/>
  <c r="C511" i="15"/>
  <c r="C512" i="15"/>
  <c r="C513" i="15"/>
  <c r="C514" i="15"/>
  <c r="C497" i="15"/>
  <c r="C498" i="15"/>
  <c r="C499" i="15"/>
  <c r="C500" i="15"/>
  <c r="C501" i="15"/>
  <c r="C502" i="15"/>
  <c r="C503" i="15"/>
  <c r="C504" i="15"/>
  <c r="C505" i="15"/>
  <c r="G512" i="15"/>
  <c r="D169" i="15"/>
  <c r="D528" i="15"/>
  <c r="D170" i="15"/>
  <c r="D296" i="15"/>
  <c r="D653" i="15"/>
  <c r="D171" i="15"/>
  <c r="D530" i="15"/>
  <c r="D172" i="15"/>
  <c r="D531" i="15"/>
  <c r="D173" i="15"/>
  <c r="D532" i="15"/>
  <c r="D174" i="15"/>
  <c r="D533" i="15"/>
  <c r="D175" i="15"/>
  <c r="D534" i="15"/>
  <c r="D176" i="15"/>
  <c r="D177" i="15"/>
  <c r="D536" i="15"/>
  <c r="D159" i="15"/>
  <c r="D518" i="15"/>
  <c r="D160" i="15"/>
  <c r="D519" i="15"/>
  <c r="D161" i="15"/>
  <c r="D520" i="15"/>
  <c r="D162" i="15"/>
  <c r="D521" i="15"/>
  <c r="D163" i="15"/>
  <c r="D164" i="15"/>
  <c r="D523" i="15"/>
  <c r="D165" i="15"/>
  <c r="D166" i="15"/>
  <c r="D525" i="15"/>
  <c r="D167" i="15"/>
  <c r="D526" i="15"/>
  <c r="D148" i="15"/>
  <c r="D507" i="15"/>
  <c r="D149" i="15"/>
  <c r="D508" i="15"/>
  <c r="D150" i="15"/>
  <c r="D509" i="15"/>
  <c r="D151" i="15"/>
  <c r="D510" i="15"/>
  <c r="D152" i="15"/>
  <c r="D511" i="15"/>
  <c r="D153" i="15"/>
  <c r="D154" i="15"/>
  <c r="D513" i="15"/>
  <c r="D155" i="15"/>
  <c r="D514" i="15"/>
  <c r="D156" i="15"/>
  <c r="D515" i="15"/>
  <c r="D138" i="15"/>
  <c r="D497" i="15"/>
  <c r="D139" i="15"/>
  <c r="D498" i="15"/>
  <c r="D140" i="15"/>
  <c r="D141" i="15"/>
  <c r="D500" i="15"/>
  <c r="D142" i="15"/>
  <c r="D143" i="15"/>
  <c r="D502" i="15"/>
  <c r="D144" i="15"/>
  <c r="D503" i="15"/>
  <c r="D145" i="15"/>
  <c r="D271" i="15"/>
  <c r="D628" i="15"/>
  <c r="D146" i="15"/>
  <c r="D505" i="15"/>
  <c r="L133" i="4"/>
  <c r="F169" i="15"/>
  <c r="N169" i="15"/>
  <c r="O169" i="15"/>
  <c r="L134" i="4"/>
  <c r="F170" i="15"/>
  <c r="N170" i="15"/>
  <c r="O170" i="15"/>
  <c r="P170" i="15"/>
  <c r="R170" i="15"/>
  <c r="S170" i="15"/>
  <c r="L135" i="4"/>
  <c r="F171" i="15"/>
  <c r="N171" i="15"/>
  <c r="O171" i="15"/>
  <c r="L136" i="4"/>
  <c r="F172" i="15"/>
  <c r="N172" i="15"/>
  <c r="O172" i="15"/>
  <c r="L137" i="4"/>
  <c r="F173" i="15"/>
  <c r="N173" i="15"/>
  <c r="O173" i="15"/>
  <c r="L138" i="4"/>
  <c r="F174" i="15"/>
  <c r="N174" i="15"/>
  <c r="O174" i="15"/>
  <c r="L139" i="4"/>
  <c r="F175" i="15"/>
  <c r="N175" i="15"/>
  <c r="L140" i="4"/>
  <c r="F176" i="15"/>
  <c r="L141" i="4"/>
  <c r="F177" i="15"/>
  <c r="N177" i="15"/>
  <c r="O177" i="15"/>
  <c r="L123" i="4"/>
  <c r="F148" i="15"/>
  <c r="N148" i="15"/>
  <c r="O148" i="15"/>
  <c r="L124" i="4"/>
  <c r="F149" i="15"/>
  <c r="N149" i="15"/>
  <c r="O149" i="15"/>
  <c r="L125" i="4"/>
  <c r="F150" i="15"/>
  <c r="N150" i="15"/>
  <c r="O150" i="15"/>
  <c r="L126" i="4"/>
  <c r="F151" i="15"/>
  <c r="N151" i="15"/>
  <c r="O151" i="15"/>
  <c r="L127" i="4"/>
  <c r="F152" i="15"/>
  <c r="L128" i="4"/>
  <c r="F153" i="15"/>
  <c r="N153" i="15"/>
  <c r="O153" i="15"/>
  <c r="H512" i="15"/>
  <c r="L129" i="4"/>
  <c r="F154" i="15"/>
  <c r="N154" i="15"/>
  <c r="O154" i="15"/>
  <c r="L130" i="4"/>
  <c r="F155" i="15"/>
  <c r="N155" i="15"/>
  <c r="O155" i="15"/>
  <c r="L131" i="4"/>
  <c r="G133" i="4"/>
  <c r="G136" i="4"/>
  <c r="G137" i="4"/>
  <c r="G140" i="4"/>
  <c r="G141" i="4"/>
  <c r="G125" i="4"/>
  <c r="G126" i="4"/>
  <c r="G129" i="4"/>
  <c r="G130" i="4"/>
  <c r="L74" i="4"/>
  <c r="L75" i="4"/>
  <c r="F161" i="15"/>
  <c r="N161" i="15"/>
  <c r="O161" i="15"/>
  <c r="L76" i="4"/>
  <c r="F162" i="15"/>
  <c r="N162" i="15"/>
  <c r="O162" i="15"/>
  <c r="G521" i="15"/>
  <c r="L77" i="4"/>
  <c r="L78" i="4"/>
  <c r="F164" i="15"/>
  <c r="N164" i="15"/>
  <c r="O164" i="15"/>
  <c r="L79" i="4"/>
  <c r="F165" i="15"/>
  <c r="N165" i="15"/>
  <c r="O165" i="15"/>
  <c r="L80" i="4"/>
  <c r="F166" i="15"/>
  <c r="N166" i="15"/>
  <c r="O166" i="15"/>
  <c r="L64" i="4"/>
  <c r="L65" i="4"/>
  <c r="L66" i="4"/>
  <c r="F142" i="15"/>
  <c r="N142" i="15"/>
  <c r="O142" i="15"/>
  <c r="L67" i="4"/>
  <c r="L68" i="4"/>
  <c r="F144" i="15"/>
  <c r="N144" i="15"/>
  <c r="O144" i="15"/>
  <c r="L69" i="4"/>
  <c r="L70" i="4"/>
  <c r="F146" i="15"/>
  <c r="N146" i="15"/>
  <c r="O146" i="15"/>
  <c r="L136" i="3"/>
  <c r="E169" i="15"/>
  <c r="E295" i="15"/>
  <c r="L137" i="3"/>
  <c r="L138" i="3"/>
  <c r="L139" i="3"/>
  <c r="E172" i="15"/>
  <c r="E298" i="15"/>
  <c r="L140" i="3"/>
  <c r="E173" i="15"/>
  <c r="E299" i="15"/>
  <c r="L141" i="3"/>
  <c r="L142" i="3"/>
  <c r="E175" i="15"/>
  <c r="E301" i="15"/>
  <c r="L143" i="3"/>
  <c r="E176" i="15"/>
  <c r="E302" i="15"/>
  <c r="L144" i="3"/>
  <c r="E177" i="15"/>
  <c r="E303" i="15"/>
  <c r="L126" i="3"/>
  <c r="L127" i="3"/>
  <c r="E149" i="15"/>
  <c r="E275" i="15"/>
  <c r="L128" i="3"/>
  <c r="E150" i="15"/>
  <c r="L129" i="3"/>
  <c r="E151" i="15"/>
  <c r="E277" i="15"/>
  <c r="L130" i="3"/>
  <c r="L131" i="3"/>
  <c r="E153" i="15"/>
  <c r="E279" i="15"/>
  <c r="L132" i="3"/>
  <c r="E154" i="15"/>
  <c r="E280" i="15"/>
  <c r="L133" i="3"/>
  <c r="E155" i="15"/>
  <c r="E281" i="15"/>
  <c r="L134" i="3"/>
  <c r="G138" i="3"/>
  <c r="G139" i="3"/>
  <c r="G143" i="3"/>
  <c r="G127" i="3"/>
  <c r="G128" i="3"/>
  <c r="G131" i="3"/>
  <c r="L76" i="3"/>
  <c r="E159" i="15"/>
  <c r="E285" i="15"/>
  <c r="L77" i="3"/>
  <c r="E160" i="15"/>
  <c r="E286" i="15"/>
  <c r="L78" i="3"/>
  <c r="E161" i="15"/>
  <c r="E287" i="15"/>
  <c r="L79" i="3"/>
  <c r="E162" i="15"/>
  <c r="E288" i="15"/>
  <c r="L80" i="3"/>
  <c r="E163" i="15"/>
  <c r="E289" i="15"/>
  <c r="L81" i="3"/>
  <c r="E164" i="15"/>
  <c r="E290" i="15"/>
  <c r="L82" i="3"/>
  <c r="E165" i="15"/>
  <c r="E291" i="15"/>
  <c r="L83" i="3"/>
  <c r="E166" i="15"/>
  <c r="E292" i="15"/>
  <c r="L84" i="3"/>
  <c r="E167" i="15"/>
  <c r="E293" i="15"/>
  <c r="L65" i="3"/>
  <c r="G65" i="3"/>
  <c r="L66" i="3"/>
  <c r="E139" i="15"/>
  <c r="E265" i="15"/>
  <c r="L67" i="3"/>
  <c r="E140" i="15"/>
  <c r="L68" i="3"/>
  <c r="L69" i="3"/>
  <c r="E142" i="15"/>
  <c r="E268" i="15"/>
  <c r="L70" i="3"/>
  <c r="E143" i="15"/>
  <c r="E269" i="15"/>
  <c r="L71" i="3"/>
  <c r="E144" i="15"/>
  <c r="E270" i="15"/>
  <c r="L72" i="3"/>
  <c r="E145" i="15"/>
  <c r="E271" i="15"/>
  <c r="L73" i="3"/>
  <c r="E146" i="15"/>
  <c r="E272" i="15"/>
  <c r="D417" i="15"/>
  <c r="C417" i="15"/>
  <c r="L93" i="4"/>
  <c r="F81" i="15"/>
  <c r="N81" i="15"/>
  <c r="O81" i="15"/>
  <c r="L94" i="4"/>
  <c r="F82" i="15"/>
  <c r="N82" i="15"/>
  <c r="O82" i="15"/>
  <c r="L95" i="4"/>
  <c r="F83" i="15"/>
  <c r="N83" i="15"/>
  <c r="O83" i="15"/>
  <c r="L96" i="4"/>
  <c r="F84" i="15"/>
  <c r="N84" i="15"/>
  <c r="O84" i="15"/>
  <c r="I443" i="15"/>
  <c r="L97" i="4"/>
  <c r="F85" i="15"/>
  <c r="N85" i="15"/>
  <c r="O85" i="15"/>
  <c r="L98" i="4"/>
  <c r="F86" i="15"/>
  <c r="L99" i="4"/>
  <c r="F87" i="15"/>
  <c r="N87" i="15"/>
  <c r="O87" i="15"/>
  <c r="L100" i="4"/>
  <c r="F88" i="15"/>
  <c r="L101" i="4"/>
  <c r="F89" i="15"/>
  <c r="N89" i="15"/>
  <c r="O89" i="15"/>
  <c r="I448" i="15"/>
  <c r="L102" i="4"/>
  <c r="F116" i="15"/>
  <c r="N116" i="15"/>
  <c r="O116" i="15"/>
  <c r="G102" i="4"/>
  <c r="L103" i="4"/>
  <c r="F117" i="15"/>
  <c r="N117" i="15"/>
  <c r="O117" i="15"/>
  <c r="L104" i="4"/>
  <c r="G104" i="4"/>
  <c r="L105" i="4"/>
  <c r="F119" i="15"/>
  <c r="N119" i="15"/>
  <c r="O119" i="15"/>
  <c r="L106" i="4"/>
  <c r="L107" i="4"/>
  <c r="L108" i="4"/>
  <c r="G108" i="4"/>
  <c r="L109" i="4"/>
  <c r="F123" i="15"/>
  <c r="N123" i="15"/>
  <c r="L110" i="4"/>
  <c r="F124" i="15"/>
  <c r="N124" i="15"/>
  <c r="O124" i="15"/>
  <c r="G110" i="4"/>
  <c r="L111" i="4"/>
  <c r="F125" i="15"/>
  <c r="L112" i="4"/>
  <c r="F126" i="15"/>
  <c r="G112" i="4"/>
  <c r="L113" i="4"/>
  <c r="G113" i="4"/>
  <c r="L114" i="4"/>
  <c r="F128" i="15"/>
  <c r="L115" i="4"/>
  <c r="F129" i="15"/>
  <c r="N129" i="15"/>
  <c r="O129" i="15"/>
  <c r="L116" i="4"/>
  <c r="G116" i="4"/>
  <c r="L117" i="4"/>
  <c r="F131" i="15"/>
  <c r="N131" i="15"/>
  <c r="O131" i="15"/>
  <c r="L118" i="4"/>
  <c r="F132" i="15"/>
  <c r="N132" i="15"/>
  <c r="O132" i="15"/>
  <c r="G118" i="4"/>
  <c r="L119" i="4"/>
  <c r="L120" i="4"/>
  <c r="F134" i="15"/>
  <c r="N134" i="15"/>
  <c r="O134" i="15"/>
  <c r="G120" i="4"/>
  <c r="L121" i="4"/>
  <c r="L122" i="4"/>
  <c r="L132" i="4"/>
  <c r="G93" i="4"/>
  <c r="G95" i="4"/>
  <c r="G98" i="4"/>
  <c r="G99" i="4"/>
  <c r="G101" i="4"/>
  <c r="G103" i="4"/>
  <c r="G105" i="4"/>
  <c r="G106" i="4"/>
  <c r="G107" i="4"/>
  <c r="G109" i="4"/>
  <c r="G111" i="4"/>
  <c r="G114" i="4"/>
  <c r="G115" i="4"/>
  <c r="G117" i="4"/>
  <c r="G119" i="4"/>
  <c r="G121" i="4"/>
  <c r="G122" i="4"/>
  <c r="G132" i="4"/>
  <c r="L36" i="4"/>
  <c r="G36" i="4"/>
  <c r="L37" i="4"/>
  <c r="F93" i="15"/>
  <c r="L38" i="4"/>
  <c r="F94" i="15"/>
  <c r="N94" i="15"/>
  <c r="O94" i="15"/>
  <c r="L39" i="4"/>
  <c r="F95" i="15"/>
  <c r="N95" i="15"/>
  <c r="O95" i="15"/>
  <c r="L40" i="4"/>
  <c r="F96" i="15"/>
  <c r="N96" i="15"/>
  <c r="O96" i="15"/>
  <c r="L41" i="4"/>
  <c r="F97" i="15"/>
  <c r="L42" i="4"/>
  <c r="F98" i="15"/>
  <c r="N98" i="15"/>
  <c r="O98" i="15"/>
  <c r="L43" i="4"/>
  <c r="F99" i="15"/>
  <c r="N99" i="15"/>
  <c r="L44" i="4"/>
  <c r="F100" i="15"/>
  <c r="N100" i="15"/>
  <c r="O100" i="15"/>
  <c r="L45" i="4"/>
  <c r="F101" i="15"/>
  <c r="N101" i="15"/>
  <c r="O101" i="15"/>
  <c r="L46" i="4"/>
  <c r="F102" i="15"/>
  <c r="N102" i="15"/>
  <c r="O102" i="15"/>
  <c r="P102" i="15"/>
  <c r="Q102" i="15"/>
  <c r="L47" i="4"/>
  <c r="L48" i="4"/>
  <c r="L49" i="4"/>
  <c r="F105" i="15"/>
  <c r="L50" i="4"/>
  <c r="F106" i="15"/>
  <c r="N106" i="15"/>
  <c r="O106" i="15"/>
  <c r="L51" i="4"/>
  <c r="F107" i="15"/>
  <c r="L52" i="4"/>
  <c r="L53" i="4"/>
  <c r="F109" i="15"/>
  <c r="N109" i="15"/>
  <c r="O109" i="15"/>
  <c r="L54" i="4"/>
  <c r="F110" i="15"/>
  <c r="N110" i="15"/>
  <c r="O110" i="15"/>
  <c r="L55" i="4"/>
  <c r="L56" i="4"/>
  <c r="L57" i="4"/>
  <c r="L58" i="4"/>
  <c r="L59" i="4"/>
  <c r="F115" i="15"/>
  <c r="N115" i="15"/>
  <c r="O115" i="15"/>
  <c r="G47" i="4"/>
  <c r="G48" i="4"/>
  <c r="G49" i="4"/>
  <c r="G50" i="4"/>
  <c r="G51" i="4"/>
  <c r="G52" i="4"/>
  <c r="G53" i="4"/>
  <c r="G54" i="4"/>
  <c r="G55" i="4"/>
  <c r="G56" i="4"/>
  <c r="G57" i="4"/>
  <c r="G58" i="4"/>
  <c r="G59" i="4"/>
  <c r="L15" i="4"/>
  <c r="F61" i="15"/>
  <c r="N61" i="15"/>
  <c r="O61" i="15"/>
  <c r="L16" i="4"/>
  <c r="G16" i="4"/>
  <c r="L17" i="4"/>
  <c r="G17" i="4"/>
  <c r="L18" i="4"/>
  <c r="F64" i="15"/>
  <c r="G18" i="4"/>
  <c r="L19" i="4"/>
  <c r="F65" i="15"/>
  <c r="N65" i="15"/>
  <c r="O65" i="15"/>
  <c r="L20" i="4"/>
  <c r="F66" i="15"/>
  <c r="N66" i="15"/>
  <c r="O66" i="15"/>
  <c r="L21" i="4"/>
  <c r="F67" i="15"/>
  <c r="L22" i="4"/>
  <c r="F68" i="15"/>
  <c r="N68" i="15"/>
  <c r="O68" i="15"/>
  <c r="L23" i="4"/>
  <c r="F69" i="15"/>
  <c r="N69" i="15"/>
  <c r="O69" i="15"/>
  <c r="L24" i="4"/>
  <c r="L25" i="4"/>
  <c r="F71" i="15"/>
  <c r="L26" i="4"/>
  <c r="F72" i="15"/>
  <c r="N72" i="15"/>
  <c r="O72" i="15"/>
  <c r="L27" i="4"/>
  <c r="F73" i="15"/>
  <c r="N73" i="15"/>
  <c r="O73" i="15"/>
  <c r="L28" i="4"/>
  <c r="F74" i="15"/>
  <c r="N74" i="15"/>
  <c r="O74" i="15"/>
  <c r="L29" i="4"/>
  <c r="L30" i="4"/>
  <c r="F76" i="15"/>
  <c r="N76" i="15"/>
  <c r="O76" i="15"/>
  <c r="L31" i="4"/>
  <c r="F77" i="15"/>
  <c r="N77" i="15"/>
  <c r="O77" i="15"/>
  <c r="L32" i="4"/>
  <c r="L33" i="4"/>
  <c r="L96" i="3"/>
  <c r="L97" i="3"/>
  <c r="E82" i="15"/>
  <c r="E208" i="15"/>
  <c r="F565" i="15"/>
  <c r="L98" i="3"/>
  <c r="E83" i="15"/>
  <c r="E209" i="15"/>
  <c r="L99" i="3"/>
  <c r="E84" i="15"/>
  <c r="E210" i="15"/>
  <c r="L100" i="3"/>
  <c r="E85" i="15"/>
  <c r="E211" i="15"/>
  <c r="L101" i="3"/>
  <c r="E86" i="15"/>
  <c r="E212" i="15"/>
  <c r="L102" i="3"/>
  <c r="E87" i="15"/>
  <c r="E213" i="15"/>
  <c r="L103" i="3"/>
  <c r="E88" i="15"/>
  <c r="E214" i="15"/>
  <c r="L104" i="3"/>
  <c r="L105" i="3"/>
  <c r="E116" i="15"/>
  <c r="E242" i="15"/>
  <c r="L106" i="3"/>
  <c r="E117" i="15"/>
  <c r="E243" i="15"/>
  <c r="AJ243" i="15"/>
  <c r="L107" i="3"/>
  <c r="E118" i="15"/>
  <c r="E244" i="15"/>
  <c r="L108" i="3"/>
  <c r="L109" i="3"/>
  <c r="E120" i="15"/>
  <c r="E246" i="15"/>
  <c r="J603" i="15"/>
  <c r="L110" i="3"/>
  <c r="E121" i="15"/>
  <c r="E247" i="15"/>
  <c r="L111" i="3"/>
  <c r="E122" i="15"/>
  <c r="E248" i="15"/>
  <c r="AJ248" i="15"/>
  <c r="L112" i="3"/>
  <c r="E123" i="15"/>
  <c r="E249" i="15"/>
  <c r="L113" i="3"/>
  <c r="E124" i="15"/>
  <c r="E250" i="15"/>
  <c r="L114" i="3"/>
  <c r="E125" i="15"/>
  <c r="E251" i="15"/>
  <c r="L115" i="3"/>
  <c r="L116" i="3"/>
  <c r="E127" i="15"/>
  <c r="E253" i="15"/>
  <c r="L117" i="3"/>
  <c r="E128" i="15"/>
  <c r="E254" i="15"/>
  <c r="G117" i="3"/>
  <c r="L118" i="3"/>
  <c r="E129" i="15"/>
  <c r="E255" i="15"/>
  <c r="L119" i="3"/>
  <c r="E130" i="15"/>
  <c r="E256" i="15"/>
  <c r="L120" i="3"/>
  <c r="E131" i="15"/>
  <c r="E257" i="15"/>
  <c r="L121" i="3"/>
  <c r="E132" i="15"/>
  <c r="L122" i="3"/>
  <c r="E133" i="15"/>
  <c r="E259" i="15"/>
  <c r="L123" i="3"/>
  <c r="E134" i="15"/>
  <c r="E260" i="15"/>
  <c r="L124" i="3"/>
  <c r="E135" i="15"/>
  <c r="E261" i="15"/>
  <c r="L125" i="3"/>
  <c r="E147" i="15"/>
  <c r="E273" i="15"/>
  <c r="L135" i="3"/>
  <c r="E168" i="15"/>
  <c r="E294" i="15"/>
  <c r="L39" i="3"/>
  <c r="G39" i="3"/>
  <c r="L40" i="3"/>
  <c r="E93" i="15"/>
  <c r="E219" i="15"/>
  <c r="L41" i="3"/>
  <c r="E94" i="15"/>
  <c r="E220" i="15"/>
  <c r="L42" i="3"/>
  <c r="L43" i="3"/>
  <c r="E96" i="15"/>
  <c r="E222" i="15"/>
  <c r="L44" i="3"/>
  <c r="E97" i="15"/>
  <c r="E223" i="15"/>
  <c r="L45" i="3"/>
  <c r="E98" i="15"/>
  <c r="E224" i="15"/>
  <c r="L46" i="3"/>
  <c r="E99" i="15"/>
  <c r="E225" i="15"/>
  <c r="AJ225" i="15"/>
  <c r="AK225" i="15"/>
  <c r="L47" i="3"/>
  <c r="E100" i="15"/>
  <c r="E226" i="15"/>
  <c r="L48" i="3"/>
  <c r="E101" i="15"/>
  <c r="E227" i="15"/>
  <c r="L49" i="3"/>
  <c r="E102" i="15"/>
  <c r="E228" i="15"/>
  <c r="L50" i="3"/>
  <c r="E103" i="15"/>
  <c r="E229" i="15"/>
  <c r="AJ229" i="15"/>
  <c r="AK229" i="15"/>
  <c r="L51" i="3"/>
  <c r="E104" i="15"/>
  <c r="E230" i="15"/>
  <c r="L52" i="3"/>
  <c r="E105" i="15"/>
  <c r="E231" i="15"/>
  <c r="L53" i="3"/>
  <c r="E106" i="15"/>
  <c r="E232" i="15"/>
  <c r="L54" i="3"/>
  <c r="E107" i="15"/>
  <c r="E233" i="15"/>
  <c r="L55" i="3"/>
  <c r="E108" i="15"/>
  <c r="E234" i="15"/>
  <c r="L56" i="3"/>
  <c r="E109" i="15"/>
  <c r="E235" i="15"/>
  <c r="L57" i="3"/>
  <c r="E110" i="15"/>
  <c r="E236" i="15"/>
  <c r="L58" i="3"/>
  <c r="L59" i="3"/>
  <c r="E112" i="15"/>
  <c r="L60" i="3"/>
  <c r="E113" i="15"/>
  <c r="E239" i="15"/>
  <c r="L61" i="3"/>
  <c r="E114" i="15"/>
  <c r="E240" i="15"/>
  <c r="L62" i="3"/>
  <c r="E115" i="15"/>
  <c r="E241" i="15"/>
  <c r="L18" i="3"/>
  <c r="E61" i="15"/>
  <c r="E187" i="15"/>
  <c r="N187" i="15"/>
  <c r="L19" i="3"/>
  <c r="E62" i="15"/>
  <c r="L20" i="3"/>
  <c r="E63" i="15"/>
  <c r="E189" i="15"/>
  <c r="N189" i="15"/>
  <c r="L21" i="3"/>
  <c r="E64" i="15"/>
  <c r="L22" i="3"/>
  <c r="E65" i="15"/>
  <c r="E191" i="15"/>
  <c r="E66" i="15"/>
  <c r="E192" i="15"/>
  <c r="L24" i="3"/>
  <c r="E67" i="15"/>
  <c r="E193" i="15"/>
  <c r="L25" i="3"/>
  <c r="E68" i="15"/>
  <c r="E194" i="15"/>
  <c r="L26" i="3"/>
  <c r="L27" i="3"/>
  <c r="E70" i="15"/>
  <c r="E196" i="15"/>
  <c r="L28" i="3"/>
  <c r="E71" i="15"/>
  <c r="E197" i="15"/>
  <c r="L29" i="3"/>
  <c r="E72" i="15"/>
  <c r="E198" i="15"/>
  <c r="L30" i="3"/>
  <c r="E73" i="15"/>
  <c r="E199" i="15"/>
  <c r="L31" i="3"/>
  <c r="E74" i="15"/>
  <c r="E200" i="15"/>
  <c r="L32" i="3"/>
  <c r="E75" i="15"/>
  <c r="E201" i="15"/>
  <c r="L33" i="3"/>
  <c r="E76" i="15"/>
  <c r="E202" i="15"/>
  <c r="L34" i="3"/>
  <c r="E77" i="15"/>
  <c r="E203" i="15"/>
  <c r="L35" i="3"/>
  <c r="L36" i="3"/>
  <c r="G97" i="3"/>
  <c r="G99" i="3"/>
  <c r="G103" i="3"/>
  <c r="G106" i="3"/>
  <c r="G107" i="3"/>
  <c r="G109" i="3"/>
  <c r="G111" i="3"/>
  <c r="G113" i="3"/>
  <c r="G114" i="3"/>
  <c r="G116" i="3"/>
  <c r="G118" i="3"/>
  <c r="G121" i="3"/>
  <c r="G123" i="3"/>
  <c r="G124" i="3"/>
  <c r="AF225" i="15"/>
  <c r="AG225" i="15"/>
  <c r="AF229" i="15"/>
  <c r="AF243" i="15"/>
  <c r="AG243" i="15"/>
  <c r="AB225" i="15"/>
  <c r="AB229" i="15"/>
  <c r="AC229" i="15"/>
  <c r="AB243" i="15"/>
  <c r="AD243" i="15"/>
  <c r="AE243" i="15"/>
  <c r="AB248" i="15"/>
  <c r="X209" i="15"/>
  <c r="Y209" i="15"/>
  <c r="X225" i="15"/>
  <c r="Y225" i="15"/>
  <c r="X229" i="15"/>
  <c r="Y229" i="15"/>
  <c r="X243" i="15"/>
  <c r="Y243" i="15"/>
  <c r="X257" i="15"/>
  <c r="Y257" i="15"/>
  <c r="T209" i="15"/>
  <c r="V209" i="15"/>
  <c r="T225" i="15"/>
  <c r="V225" i="15"/>
  <c r="W225" i="15"/>
  <c r="T248" i="15"/>
  <c r="T257" i="15"/>
  <c r="U257" i="15"/>
  <c r="P209" i="15"/>
  <c r="R209" i="15"/>
  <c r="S209" i="15"/>
  <c r="P219" i="15"/>
  <c r="P225" i="15"/>
  <c r="Q225" i="15"/>
  <c r="P229" i="15"/>
  <c r="R229" i="15"/>
  <c r="S229" i="15"/>
  <c r="P233" i="15"/>
  <c r="P242" i="15"/>
  <c r="Q242" i="15"/>
  <c r="P243" i="15"/>
  <c r="R243" i="15"/>
  <c r="S243" i="15"/>
  <c r="P248" i="15"/>
  <c r="P257" i="15"/>
  <c r="R257" i="15"/>
  <c r="S257" i="15"/>
  <c r="N209" i="15"/>
  <c r="O209" i="15"/>
  <c r="N225" i="15"/>
  <c r="O225" i="15"/>
  <c r="N229" i="15"/>
  <c r="O229" i="15"/>
  <c r="N231" i="15"/>
  <c r="O231" i="15"/>
  <c r="N239" i="15"/>
  <c r="O239" i="15"/>
  <c r="N243" i="15"/>
  <c r="O243" i="15"/>
  <c r="N248" i="15"/>
  <c r="O248" i="15"/>
  <c r="N257" i="15"/>
  <c r="O257" i="15"/>
  <c r="X121" i="15"/>
  <c r="X126" i="15"/>
  <c r="T80" i="15"/>
  <c r="T81" i="15"/>
  <c r="U81" i="15"/>
  <c r="T82" i="15"/>
  <c r="U82" i="15"/>
  <c r="T83" i="15"/>
  <c r="T88" i="15"/>
  <c r="T89" i="15"/>
  <c r="U89" i="15"/>
  <c r="T119" i="15"/>
  <c r="T121" i="15"/>
  <c r="T126" i="15"/>
  <c r="P80" i="15"/>
  <c r="Q80" i="15"/>
  <c r="P81" i="15"/>
  <c r="Q81" i="15"/>
  <c r="P82" i="15"/>
  <c r="P83" i="15"/>
  <c r="P84" i="15"/>
  <c r="Q84" i="15"/>
  <c r="P87" i="15"/>
  <c r="Q87" i="15"/>
  <c r="P88" i="15"/>
  <c r="R88" i="15"/>
  <c r="S88" i="15"/>
  <c r="P89" i="15"/>
  <c r="Q89" i="15"/>
  <c r="P119" i="15"/>
  <c r="Q119" i="15"/>
  <c r="P121" i="15"/>
  <c r="P126" i="15"/>
  <c r="Q126" i="15"/>
  <c r="P127" i="15"/>
  <c r="R127" i="15"/>
  <c r="S127" i="15"/>
  <c r="P134" i="15"/>
  <c r="P179" i="15"/>
  <c r="Q179" i="15"/>
  <c r="N179" i="15"/>
  <c r="O179" i="15"/>
  <c r="F118" i="15"/>
  <c r="F120" i="15"/>
  <c r="T120" i="15"/>
  <c r="U120" i="15"/>
  <c r="F121" i="15"/>
  <c r="N121" i="15"/>
  <c r="O121" i="15"/>
  <c r="F122" i="15"/>
  <c r="N122" i="15"/>
  <c r="O122" i="15"/>
  <c r="O123" i="15"/>
  <c r="N125" i="15"/>
  <c r="O125" i="15"/>
  <c r="N126" i="15"/>
  <c r="O126" i="15"/>
  <c r="F127" i="15"/>
  <c r="N127" i="15"/>
  <c r="O127" i="15"/>
  <c r="F130" i="15"/>
  <c r="N130" i="15"/>
  <c r="O130" i="15"/>
  <c r="F133" i="15"/>
  <c r="N133" i="15"/>
  <c r="O133" i="15"/>
  <c r="F135" i="15"/>
  <c r="N135" i="15"/>
  <c r="O135" i="15"/>
  <c r="P135" i="15"/>
  <c r="R135" i="15"/>
  <c r="S135" i="15"/>
  <c r="P97" i="15"/>
  <c r="Q97" i="15"/>
  <c r="O99" i="15"/>
  <c r="G460" i="15"/>
  <c r="F103" i="15"/>
  <c r="F104" i="15"/>
  <c r="N104" i="15"/>
  <c r="O104" i="15"/>
  <c r="F108" i="15"/>
  <c r="N108" i="15"/>
  <c r="O108" i="15"/>
  <c r="G467" i="15"/>
  <c r="F111" i="15"/>
  <c r="N111" i="15"/>
  <c r="O111" i="15"/>
  <c r="F112" i="15"/>
  <c r="N112" i="15"/>
  <c r="O112" i="15"/>
  <c r="F113" i="15"/>
  <c r="N113" i="15"/>
  <c r="O113" i="15"/>
  <c r="F114" i="15"/>
  <c r="N114" i="15"/>
  <c r="O114" i="15"/>
  <c r="D117" i="15"/>
  <c r="D118" i="15"/>
  <c r="D119" i="15"/>
  <c r="D478" i="15"/>
  <c r="D120" i="15"/>
  <c r="D479" i="15"/>
  <c r="D121" i="15"/>
  <c r="D122" i="15"/>
  <c r="D481" i="15"/>
  <c r="D123" i="15"/>
  <c r="D482" i="15"/>
  <c r="D124" i="15"/>
  <c r="D125" i="15"/>
  <c r="D126" i="15"/>
  <c r="D485" i="15"/>
  <c r="D127" i="15"/>
  <c r="D253" i="15"/>
  <c r="D610" i="15"/>
  <c r="D128" i="15"/>
  <c r="D487" i="15"/>
  <c r="D129" i="15"/>
  <c r="D488" i="15"/>
  <c r="D130" i="15"/>
  <c r="D131" i="15"/>
  <c r="D490" i="15"/>
  <c r="D132" i="15"/>
  <c r="D133" i="15"/>
  <c r="D492" i="15"/>
  <c r="D134" i="15"/>
  <c r="D135" i="15"/>
  <c r="D494" i="15"/>
  <c r="D92" i="15"/>
  <c r="D451" i="15"/>
  <c r="D93" i="15"/>
  <c r="D94" i="15"/>
  <c r="D453" i="15"/>
  <c r="D95" i="15"/>
  <c r="D454" i="15"/>
  <c r="D96" i="15"/>
  <c r="D97" i="15"/>
  <c r="D456" i="15"/>
  <c r="D98" i="15"/>
  <c r="D457" i="15"/>
  <c r="D99" i="15"/>
  <c r="D458" i="15"/>
  <c r="D100" i="15"/>
  <c r="D459" i="15"/>
  <c r="D101" i="15"/>
  <c r="D460" i="15"/>
  <c r="D102" i="15"/>
  <c r="D461" i="15"/>
  <c r="D103" i="15"/>
  <c r="D462" i="15"/>
  <c r="D104" i="15"/>
  <c r="D105" i="15"/>
  <c r="D464" i="15"/>
  <c r="D106" i="15"/>
  <c r="D465" i="15"/>
  <c r="D107" i="15"/>
  <c r="D108" i="15"/>
  <c r="D467" i="15"/>
  <c r="D109" i="15"/>
  <c r="D110" i="15"/>
  <c r="D469" i="15"/>
  <c r="D111" i="15"/>
  <c r="D112" i="15"/>
  <c r="D471" i="15"/>
  <c r="D113" i="15"/>
  <c r="D114" i="15"/>
  <c r="D115" i="15"/>
  <c r="D241" i="15"/>
  <c r="D598" i="15"/>
  <c r="D81" i="15"/>
  <c r="D82" i="15"/>
  <c r="D83" i="15"/>
  <c r="D442" i="15"/>
  <c r="D84" i="15"/>
  <c r="D443" i="15"/>
  <c r="D85" i="15"/>
  <c r="D444" i="15"/>
  <c r="D86" i="15"/>
  <c r="D445" i="15"/>
  <c r="D87" i="15"/>
  <c r="D88" i="15"/>
  <c r="D447" i="15"/>
  <c r="D89" i="15"/>
  <c r="D448" i="15"/>
  <c r="D61" i="15"/>
  <c r="D187" i="15"/>
  <c r="D544" i="15"/>
  <c r="D62" i="15"/>
  <c r="D421" i="15"/>
  <c r="D63" i="15"/>
  <c r="D422" i="15"/>
  <c r="D64" i="15"/>
  <c r="D65" i="15"/>
  <c r="D66" i="15"/>
  <c r="D67" i="15"/>
  <c r="D426" i="15"/>
  <c r="D68" i="15"/>
  <c r="D427" i="15"/>
  <c r="D69" i="15"/>
  <c r="D70" i="15"/>
  <c r="D71" i="15"/>
  <c r="D197" i="15"/>
  <c r="D554" i="15"/>
  <c r="D72" i="15"/>
  <c r="D73" i="15"/>
  <c r="D74" i="15"/>
  <c r="D75" i="15"/>
  <c r="D434" i="15"/>
  <c r="D76" i="15"/>
  <c r="D77" i="15"/>
  <c r="D78" i="15"/>
  <c r="D437" i="15"/>
  <c r="D79" i="15"/>
  <c r="D438" i="15"/>
  <c r="D80" i="15"/>
  <c r="N67" i="15"/>
  <c r="O67" i="15"/>
  <c r="F70" i="15"/>
  <c r="N70" i="15"/>
  <c r="O70" i="15"/>
  <c r="F75" i="15"/>
  <c r="N75" i="15"/>
  <c r="O75" i="15"/>
  <c r="F79" i="15"/>
  <c r="N79" i="15"/>
  <c r="O79" i="15"/>
  <c r="E69" i="15"/>
  <c r="E195" i="15"/>
  <c r="F553" i="15"/>
  <c r="F555" i="15"/>
  <c r="L600" i="15"/>
  <c r="L605" i="15"/>
  <c r="K600" i="15"/>
  <c r="K605" i="15"/>
  <c r="J600" i="15"/>
  <c r="J605" i="15"/>
  <c r="J614" i="15"/>
  <c r="I600" i="15"/>
  <c r="I605" i="15"/>
  <c r="I614" i="15"/>
  <c r="H600" i="15"/>
  <c r="H605" i="15"/>
  <c r="H614" i="15"/>
  <c r="H599" i="15"/>
  <c r="G600" i="15"/>
  <c r="G604" i="15"/>
  <c r="G605" i="15"/>
  <c r="G613" i="15"/>
  <c r="G614" i="15"/>
  <c r="G599" i="15"/>
  <c r="F600" i="15"/>
  <c r="F604" i="15"/>
  <c r="F605" i="15"/>
  <c r="F613" i="15"/>
  <c r="F614" i="15"/>
  <c r="F599" i="15"/>
  <c r="J566" i="15"/>
  <c r="H566" i="15"/>
  <c r="G566" i="15"/>
  <c r="F566" i="15"/>
  <c r="F567" i="15"/>
  <c r="F569" i="15"/>
  <c r="I566" i="15"/>
  <c r="F544" i="15"/>
  <c r="F546" i="15"/>
  <c r="F548" i="15"/>
  <c r="F549" i="15"/>
  <c r="F551" i="15"/>
  <c r="F554" i="15"/>
  <c r="F556" i="15"/>
  <c r="F559" i="15"/>
  <c r="L582" i="15"/>
  <c r="L586" i="15"/>
  <c r="K582" i="15"/>
  <c r="K586" i="15"/>
  <c r="J582" i="15"/>
  <c r="J586" i="15"/>
  <c r="I576" i="15"/>
  <c r="I582" i="15"/>
  <c r="I586" i="15"/>
  <c r="H576" i="15"/>
  <c r="H582" i="15"/>
  <c r="H586" i="15"/>
  <c r="G576" i="15"/>
  <c r="G582" i="15"/>
  <c r="G586" i="15"/>
  <c r="F576" i="15"/>
  <c r="F582" i="15"/>
  <c r="F586" i="15"/>
  <c r="F590" i="15"/>
  <c r="C599" i="15"/>
  <c r="C600" i="15"/>
  <c r="C601" i="15"/>
  <c r="C602" i="15"/>
  <c r="C603" i="15"/>
  <c r="C604" i="15"/>
  <c r="C605" i="15"/>
  <c r="C606" i="15"/>
  <c r="C607" i="15"/>
  <c r="C608" i="15"/>
  <c r="C609" i="15"/>
  <c r="C610" i="15"/>
  <c r="C611" i="15"/>
  <c r="C612" i="15"/>
  <c r="C613" i="15"/>
  <c r="C614" i="15"/>
  <c r="C615" i="15"/>
  <c r="C616" i="15"/>
  <c r="C617" i="15"/>
  <c r="C618" i="15"/>
  <c r="C589" i="15"/>
  <c r="C590" i="15"/>
  <c r="C591" i="15"/>
  <c r="C592" i="15"/>
  <c r="C593" i="15"/>
  <c r="C594" i="15"/>
  <c r="C595" i="15"/>
  <c r="C596" i="15"/>
  <c r="C597" i="15"/>
  <c r="C598"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2" i="15"/>
  <c r="G456" i="15"/>
  <c r="G458" i="15"/>
  <c r="G463" i="15"/>
  <c r="G474" i="15"/>
  <c r="J480" i="15"/>
  <c r="I480" i="15"/>
  <c r="H479" i="15"/>
  <c r="H480" i="15"/>
  <c r="H486" i="15"/>
  <c r="G476" i="15"/>
  <c r="G478" i="15"/>
  <c r="G479" i="15"/>
  <c r="G480" i="15"/>
  <c r="G482" i="15"/>
  <c r="G486" i="15"/>
  <c r="G487" i="15"/>
  <c r="G488" i="15"/>
  <c r="G492" i="15"/>
  <c r="G494" i="15"/>
  <c r="I440" i="15"/>
  <c r="I441" i="15"/>
  <c r="H440" i="15"/>
  <c r="H442" i="15"/>
  <c r="H443" i="15"/>
  <c r="H446" i="15"/>
  <c r="H447" i="15"/>
  <c r="G441" i="15"/>
  <c r="G442" i="15"/>
  <c r="G444" i="15"/>
  <c r="G445" i="15"/>
  <c r="G446" i="15"/>
  <c r="G448" i="15"/>
  <c r="C465" i="15"/>
  <c r="C466" i="15"/>
  <c r="C467" i="15"/>
  <c r="C468" i="15"/>
  <c r="C469" i="15"/>
  <c r="C470" i="15"/>
  <c r="C471" i="15"/>
  <c r="C472" i="15"/>
  <c r="C473" i="15"/>
  <c r="C474" i="15"/>
  <c r="C440" i="15"/>
  <c r="C441" i="15"/>
  <c r="C442" i="15"/>
  <c r="C443" i="15"/>
  <c r="C444" i="15"/>
  <c r="C445" i="15"/>
  <c r="C429" i="15"/>
  <c r="C430" i="15"/>
  <c r="C431" i="15"/>
  <c r="C432" i="15"/>
  <c r="C433" i="15"/>
  <c r="C434" i="15"/>
  <c r="C435" i="15"/>
  <c r="C436" i="15"/>
  <c r="C437" i="15"/>
  <c r="C438" i="15"/>
  <c r="C476" i="15"/>
  <c r="C477" i="15"/>
  <c r="C478" i="15"/>
  <c r="C479" i="15"/>
  <c r="C480" i="15"/>
  <c r="C481" i="15"/>
  <c r="C482" i="15"/>
  <c r="C483" i="15"/>
  <c r="C484" i="15"/>
  <c r="C485" i="15"/>
  <c r="C486" i="15"/>
  <c r="C487" i="15"/>
  <c r="C488" i="15"/>
  <c r="C489" i="15"/>
  <c r="C490" i="15"/>
  <c r="C491" i="15"/>
  <c r="C492" i="15"/>
  <c r="C493" i="15"/>
  <c r="C494" i="15"/>
  <c r="B2" i="14"/>
  <c r="L92" i="4"/>
  <c r="F80" i="15"/>
  <c r="N80" i="15"/>
  <c r="O80" i="15"/>
  <c r="L95" i="3"/>
  <c r="E80" i="15"/>
  <c r="E206" i="15"/>
  <c r="F85" i="21"/>
  <c r="G85" i="21"/>
  <c r="H85" i="21"/>
  <c r="I85" i="21"/>
  <c r="J85" i="21"/>
  <c r="K85" i="21"/>
  <c r="L85" i="21"/>
  <c r="M85" i="21"/>
  <c r="N85" i="21"/>
  <c r="P75" i="21"/>
  <c r="Q75" i="21"/>
  <c r="P76" i="21"/>
  <c r="Q76" i="21"/>
  <c r="P77" i="21"/>
  <c r="Q77" i="21"/>
  <c r="P78" i="21"/>
  <c r="Q78" i="21"/>
  <c r="P79" i="21"/>
  <c r="Q79" i="21"/>
  <c r="O75" i="21"/>
  <c r="O76" i="21"/>
  <c r="O77" i="21"/>
  <c r="O78" i="21"/>
  <c r="O79" i="21"/>
  <c r="P62" i="21"/>
  <c r="Q62" i="21"/>
  <c r="P63" i="21"/>
  <c r="Q63" i="21"/>
  <c r="P64" i="21"/>
  <c r="Q64" i="21"/>
  <c r="P65" i="21"/>
  <c r="Q65" i="21"/>
  <c r="P66" i="21"/>
  <c r="Q66" i="21"/>
  <c r="O62" i="21"/>
  <c r="O63" i="21"/>
  <c r="O64" i="21"/>
  <c r="O65" i="21"/>
  <c r="O66" i="21"/>
  <c r="P42" i="21"/>
  <c r="Q42" i="21"/>
  <c r="P43" i="21"/>
  <c r="Q43" i="21"/>
  <c r="P44" i="21"/>
  <c r="Q44" i="21"/>
  <c r="P45" i="21"/>
  <c r="Q45" i="21"/>
  <c r="P46" i="21"/>
  <c r="Q46" i="21"/>
  <c r="O42" i="21"/>
  <c r="O43" i="21"/>
  <c r="O44" i="21"/>
  <c r="O46" i="21"/>
  <c r="O146" i="21"/>
  <c r="P29" i="21"/>
  <c r="Q29" i="21"/>
  <c r="P30" i="21"/>
  <c r="Q30" i="21"/>
  <c r="P31" i="21"/>
  <c r="Q31" i="21"/>
  <c r="P32" i="21"/>
  <c r="Q32" i="21"/>
  <c r="P33" i="21"/>
  <c r="Q33" i="21"/>
  <c r="O29" i="21"/>
  <c r="O30" i="21"/>
  <c r="O32" i="21"/>
  <c r="O33" i="21"/>
  <c r="F69" i="21"/>
  <c r="H69" i="21"/>
  <c r="H70" i="21"/>
  <c r="I69" i="21"/>
  <c r="J69" i="21"/>
  <c r="J70" i="21"/>
  <c r="J82" i="21"/>
  <c r="L69" i="21"/>
  <c r="L70" i="21"/>
  <c r="N69" i="21"/>
  <c r="N81" i="21"/>
  <c r="C2" i="21"/>
  <c r="P74" i="21"/>
  <c r="Q74" i="21"/>
  <c r="P68" i="21"/>
  <c r="Q68" i="21"/>
  <c r="P61" i="21"/>
  <c r="Q61" i="21"/>
  <c r="P41" i="21"/>
  <c r="Q41" i="21"/>
  <c r="P35" i="21"/>
  <c r="Q35" i="21"/>
  <c r="P28" i="21"/>
  <c r="Q28" i="21"/>
  <c r="C67" i="21"/>
  <c r="C100" i="21"/>
  <c r="C134" i="21"/>
  <c r="E146" i="21"/>
  <c r="F146" i="21"/>
  <c r="G146" i="21"/>
  <c r="H146" i="21"/>
  <c r="I146" i="21"/>
  <c r="J146" i="21"/>
  <c r="K146" i="21"/>
  <c r="L146" i="21"/>
  <c r="M146" i="21"/>
  <c r="N146" i="21"/>
  <c r="D146" i="21"/>
  <c r="T179" i="15"/>
  <c r="V179" i="15"/>
  <c r="W179" i="15"/>
  <c r="X179" i="15"/>
  <c r="Y179" i="15"/>
  <c r="AB179" i="15"/>
  <c r="AD179" i="15"/>
  <c r="AE179" i="15"/>
  <c r="AF179" i="15"/>
  <c r="AH179" i="15"/>
  <c r="AI179" i="15"/>
  <c r="AJ179" i="15"/>
  <c r="AK179" i="15"/>
  <c r="M572" i="15"/>
  <c r="M573" i="15"/>
  <c r="M619" i="15"/>
  <c r="M661" i="15"/>
  <c r="E145" i="21"/>
  <c r="F145" i="21"/>
  <c r="G145" i="21"/>
  <c r="H145" i="21"/>
  <c r="I145" i="21"/>
  <c r="J145" i="21"/>
  <c r="K145" i="21"/>
  <c r="L145" i="21"/>
  <c r="M145" i="21"/>
  <c r="D145" i="21"/>
  <c r="D661" i="15"/>
  <c r="D640" i="15"/>
  <c r="D619" i="15"/>
  <c r="D573" i="15"/>
  <c r="M496" i="15"/>
  <c r="F168" i="15"/>
  <c r="N168" i="15"/>
  <c r="O168" i="15"/>
  <c r="F147" i="15"/>
  <c r="N147" i="15"/>
  <c r="O147" i="15"/>
  <c r="G506" i="15"/>
  <c r="D36" i="21"/>
  <c r="D136" i="21"/>
  <c r="E36" i="21"/>
  <c r="E37" i="21"/>
  <c r="F36" i="21"/>
  <c r="F37" i="21"/>
  <c r="G36" i="21"/>
  <c r="G37" i="21"/>
  <c r="I36" i="21"/>
  <c r="I136" i="21"/>
  <c r="J36" i="21"/>
  <c r="J48" i="21"/>
  <c r="K36" i="21"/>
  <c r="K48" i="21"/>
  <c r="K148" i="21"/>
  <c r="L36" i="21"/>
  <c r="L37" i="21"/>
  <c r="M36" i="21"/>
  <c r="M48" i="21"/>
  <c r="M148" i="21"/>
  <c r="N36" i="21"/>
  <c r="N136" i="21"/>
  <c r="I82" i="4"/>
  <c r="J82" i="4"/>
  <c r="K82" i="4"/>
  <c r="I71" i="4"/>
  <c r="J71" i="4"/>
  <c r="K71" i="4"/>
  <c r="I60" i="4"/>
  <c r="J60" i="4"/>
  <c r="K60" i="4"/>
  <c r="I34" i="4"/>
  <c r="J34" i="4"/>
  <c r="K34" i="4"/>
  <c r="L35" i="4"/>
  <c r="G35" i="4"/>
  <c r="L61" i="4"/>
  <c r="G61" i="4"/>
  <c r="L62" i="4"/>
  <c r="G62" i="4"/>
  <c r="L63" i="4"/>
  <c r="F139" i="15"/>
  <c r="L72" i="4"/>
  <c r="F158" i="15"/>
  <c r="N158" i="15"/>
  <c r="O158" i="15"/>
  <c r="L73" i="4"/>
  <c r="F159" i="15"/>
  <c r="I85" i="3"/>
  <c r="J85" i="3"/>
  <c r="K85" i="3"/>
  <c r="I74" i="3"/>
  <c r="J74" i="3"/>
  <c r="K74" i="3"/>
  <c r="I63" i="3"/>
  <c r="J63" i="3"/>
  <c r="K63" i="3"/>
  <c r="I37" i="3"/>
  <c r="J37" i="3"/>
  <c r="K37" i="3"/>
  <c r="L38" i="3"/>
  <c r="L64" i="3"/>
  <c r="L75" i="3"/>
  <c r="E158" i="15"/>
  <c r="E57" i="13"/>
  <c r="E72" i="13"/>
  <c r="E58" i="13"/>
  <c r="E73" i="13"/>
  <c r="E59" i="13"/>
  <c r="E74" i="13"/>
  <c r="E60" i="13"/>
  <c r="E75" i="13"/>
  <c r="E61" i="13"/>
  <c r="E76" i="13"/>
  <c r="E62" i="13"/>
  <c r="E77" i="13"/>
  <c r="E63" i="13"/>
  <c r="E56" i="13"/>
  <c r="E71" i="13"/>
  <c r="H31" i="14"/>
  <c r="H29" i="14"/>
  <c r="H34" i="14"/>
  <c r="I71" i="13"/>
  <c r="H21" i="14"/>
  <c r="F19" i="14"/>
  <c r="G75" i="13"/>
  <c r="G76" i="13"/>
  <c r="G77" i="13"/>
  <c r="G74" i="13"/>
  <c r="G72" i="13"/>
  <c r="G73" i="13"/>
  <c r="N51" i="18"/>
  <c r="E85" i="21"/>
  <c r="F128" i="21"/>
  <c r="G128" i="21"/>
  <c r="H128" i="21"/>
  <c r="I128" i="21"/>
  <c r="J128" i="21"/>
  <c r="K128" i="21"/>
  <c r="L128" i="21"/>
  <c r="M128" i="21"/>
  <c r="N128" i="21"/>
  <c r="E129" i="21"/>
  <c r="F129" i="21"/>
  <c r="G129" i="21"/>
  <c r="H129" i="21"/>
  <c r="I129" i="21"/>
  <c r="J129" i="21"/>
  <c r="K129" i="21"/>
  <c r="L129" i="21"/>
  <c r="M129" i="21"/>
  <c r="N129" i="21"/>
  <c r="E130" i="21"/>
  <c r="F130" i="21"/>
  <c r="G130" i="21"/>
  <c r="H130" i="21"/>
  <c r="I130" i="21"/>
  <c r="J130" i="21"/>
  <c r="K130" i="21"/>
  <c r="L130" i="21"/>
  <c r="M130" i="21"/>
  <c r="N130" i="21"/>
  <c r="E131" i="21"/>
  <c r="F131" i="21"/>
  <c r="G131" i="21"/>
  <c r="I131" i="21"/>
  <c r="J131" i="21"/>
  <c r="K131" i="21"/>
  <c r="L131" i="21"/>
  <c r="M131" i="21"/>
  <c r="N131" i="21"/>
  <c r="E132" i="21"/>
  <c r="F132" i="21"/>
  <c r="G132" i="21"/>
  <c r="I132" i="21"/>
  <c r="J132" i="21"/>
  <c r="K132" i="21"/>
  <c r="L132" i="21"/>
  <c r="M132" i="21"/>
  <c r="N132" i="21"/>
  <c r="E133" i="21"/>
  <c r="F133" i="21"/>
  <c r="H133" i="21"/>
  <c r="I133" i="21"/>
  <c r="J133" i="21"/>
  <c r="K133" i="21"/>
  <c r="L133" i="21"/>
  <c r="M133" i="21"/>
  <c r="N133" i="21"/>
  <c r="E135" i="21"/>
  <c r="F135" i="21"/>
  <c r="G135" i="21"/>
  <c r="H135" i="21"/>
  <c r="I135" i="21"/>
  <c r="J135" i="21"/>
  <c r="K135" i="21"/>
  <c r="L135" i="21"/>
  <c r="M135" i="21"/>
  <c r="N135" i="21"/>
  <c r="D129" i="21"/>
  <c r="D130" i="21"/>
  <c r="D131" i="21"/>
  <c r="D132" i="21"/>
  <c r="D133" i="21"/>
  <c r="D135" i="21"/>
  <c r="D142" i="21"/>
  <c r="E142" i="21"/>
  <c r="F142" i="21"/>
  <c r="G142" i="21"/>
  <c r="H142" i="21"/>
  <c r="I142" i="21"/>
  <c r="J142" i="21"/>
  <c r="K142" i="21"/>
  <c r="L142" i="21"/>
  <c r="M142" i="21"/>
  <c r="N142" i="21"/>
  <c r="D143" i="21"/>
  <c r="E143" i="21"/>
  <c r="F143" i="21"/>
  <c r="G143" i="21"/>
  <c r="H143" i="21"/>
  <c r="I143" i="21"/>
  <c r="J143" i="21"/>
  <c r="K143" i="21"/>
  <c r="L143" i="21"/>
  <c r="M143" i="21"/>
  <c r="N143" i="21"/>
  <c r="D144" i="21"/>
  <c r="E144" i="21"/>
  <c r="F144" i="21"/>
  <c r="G144" i="21"/>
  <c r="H144" i="21"/>
  <c r="I144" i="21"/>
  <c r="J144" i="21"/>
  <c r="K144" i="21"/>
  <c r="L144" i="21"/>
  <c r="M144" i="21"/>
  <c r="N144" i="21"/>
  <c r="E141" i="21"/>
  <c r="F141" i="21"/>
  <c r="G141" i="21"/>
  <c r="H141" i="21"/>
  <c r="I141" i="21"/>
  <c r="J141" i="21"/>
  <c r="K141" i="21"/>
  <c r="L141" i="21"/>
  <c r="M141" i="21"/>
  <c r="N141" i="21"/>
  <c r="F84" i="21"/>
  <c r="G84" i="21"/>
  <c r="H84" i="21"/>
  <c r="I84" i="21"/>
  <c r="J84" i="21"/>
  <c r="K84" i="21"/>
  <c r="L84" i="21"/>
  <c r="M84" i="21"/>
  <c r="N84" i="21"/>
  <c r="E84" i="21"/>
  <c r="O74" i="21"/>
  <c r="O68" i="21"/>
  <c r="O61" i="21"/>
  <c r="G51" i="21"/>
  <c r="H51" i="21"/>
  <c r="I51" i="21"/>
  <c r="I151" i="21"/>
  <c r="J51" i="21"/>
  <c r="K51" i="21"/>
  <c r="L51" i="21"/>
  <c r="M51" i="21"/>
  <c r="N51" i="21"/>
  <c r="F52" i="21"/>
  <c r="G52" i="21"/>
  <c r="H52" i="21"/>
  <c r="I52" i="21"/>
  <c r="I152" i="21"/>
  <c r="J52" i="21"/>
  <c r="K52" i="21"/>
  <c r="K152" i="21"/>
  <c r="L52" i="21"/>
  <c r="L152" i="21"/>
  <c r="M52" i="21"/>
  <c r="M152" i="21"/>
  <c r="N52" i="21"/>
  <c r="N152" i="21"/>
  <c r="E52" i="21"/>
  <c r="E152" i="21"/>
  <c r="O35" i="21"/>
  <c r="O28" i="21"/>
  <c r="O41" i="21"/>
  <c r="E51" i="21"/>
  <c r="F51" i="21"/>
  <c r="L17" i="3"/>
  <c r="E60" i="15"/>
  <c r="E186" i="15"/>
  <c r="D37" i="3"/>
  <c r="D85" i="3"/>
  <c r="D74" i="3"/>
  <c r="D63" i="3"/>
  <c r="D60" i="4"/>
  <c r="D82" i="4"/>
  <c r="D71" i="4"/>
  <c r="D34" i="4"/>
  <c r="C641" i="15"/>
  <c r="C651" i="15"/>
  <c r="C586" i="15"/>
  <c r="C587" i="15"/>
  <c r="C588" i="15"/>
  <c r="C620" i="15"/>
  <c r="C630" i="15"/>
  <c r="C574" i="15"/>
  <c r="C575" i="15"/>
  <c r="C576" i="15"/>
  <c r="C577" i="15"/>
  <c r="C578" i="15"/>
  <c r="C579" i="15"/>
  <c r="C580" i="15"/>
  <c r="C581" i="15"/>
  <c r="C582" i="15"/>
  <c r="C583" i="15"/>
  <c r="C584" i="15"/>
  <c r="C585" i="15"/>
  <c r="C541" i="15"/>
  <c r="D541" i="15"/>
  <c r="C543" i="15"/>
  <c r="C517" i="15"/>
  <c r="D158" i="15"/>
  <c r="D517" i="15"/>
  <c r="C527" i="15"/>
  <c r="D168" i="15"/>
  <c r="D294" i="15"/>
  <c r="D651" i="15"/>
  <c r="C455" i="15"/>
  <c r="C456" i="15"/>
  <c r="C457" i="15"/>
  <c r="C458" i="15"/>
  <c r="C459" i="15"/>
  <c r="C460" i="15"/>
  <c r="C461" i="15"/>
  <c r="C462" i="15"/>
  <c r="C463" i="15"/>
  <c r="C464" i="15"/>
  <c r="C475" i="15"/>
  <c r="D116" i="15"/>
  <c r="C496" i="15"/>
  <c r="D137" i="15"/>
  <c r="D496" i="15"/>
  <c r="C506" i="15"/>
  <c r="D147" i="15"/>
  <c r="C420" i="15"/>
  <c r="C421" i="15"/>
  <c r="C422" i="15"/>
  <c r="C423" i="15"/>
  <c r="C424" i="15"/>
  <c r="C425" i="15"/>
  <c r="C426" i="15"/>
  <c r="C427" i="15"/>
  <c r="C428" i="15"/>
  <c r="C439" i="15"/>
  <c r="C446" i="15"/>
  <c r="C447" i="15"/>
  <c r="C448" i="15"/>
  <c r="C450" i="15"/>
  <c r="D91" i="15"/>
  <c r="C451" i="15"/>
  <c r="C452" i="15"/>
  <c r="C453" i="15"/>
  <c r="C454" i="15"/>
  <c r="C419" i="15"/>
  <c r="D60" i="15"/>
  <c r="D186" i="15"/>
  <c r="D543" i="15"/>
  <c r="H55" i="13"/>
  <c r="G55" i="13"/>
  <c r="F55" i="13"/>
  <c r="D141" i="21"/>
  <c r="D128" i="21"/>
  <c r="L86" i="3"/>
  <c r="L153" i="3"/>
  <c r="L154" i="3"/>
  <c r="L155" i="3"/>
  <c r="L156" i="3"/>
  <c r="L157" i="3"/>
  <c r="L158" i="3"/>
  <c r="L159" i="3"/>
  <c r="L160" i="3"/>
  <c r="K70" i="13"/>
  <c r="C2" i="18"/>
  <c r="C2" i="19"/>
  <c r="Q29" i="19"/>
  <c r="R29" i="19"/>
  <c r="S29" i="19"/>
  <c r="T29" i="19"/>
  <c r="W29" i="19"/>
  <c r="Y29" i="19"/>
  <c r="AA29" i="19"/>
  <c r="AB29" i="19"/>
  <c r="Q30" i="19"/>
  <c r="R30" i="19"/>
  <c r="S30" i="19"/>
  <c r="T30" i="19"/>
  <c r="W30" i="19"/>
  <c r="X30" i="19"/>
  <c r="Z30" i="19"/>
  <c r="AA30" i="19"/>
  <c r="AC30" i="19"/>
  <c r="AK30" i="19"/>
  <c r="AL30" i="19"/>
  <c r="AB30" i="19"/>
  <c r="Q31" i="19"/>
  <c r="R31" i="19"/>
  <c r="S31" i="19"/>
  <c r="T31" i="19"/>
  <c r="W31" i="19"/>
  <c r="Y31" i="19"/>
  <c r="AA31" i="19"/>
  <c r="AB31" i="19"/>
  <c r="Q32" i="19"/>
  <c r="R32" i="19"/>
  <c r="S32" i="19"/>
  <c r="T32" i="19"/>
  <c r="W32" i="19"/>
  <c r="X32" i="19"/>
  <c r="AA32" i="19"/>
  <c r="AB32" i="19"/>
  <c r="AI32" i="19"/>
  <c r="AM32" i="19"/>
  <c r="AO32" i="19"/>
  <c r="AP32" i="19"/>
  <c r="AQ32" i="19"/>
  <c r="AR32" i="19"/>
  <c r="Q33" i="19"/>
  <c r="R33" i="19"/>
  <c r="S33" i="19"/>
  <c r="T33" i="19"/>
  <c r="W33" i="19"/>
  <c r="X33" i="19"/>
  <c r="AA33" i="19"/>
  <c r="AB33" i="19"/>
  <c r="AI33" i="19"/>
  <c r="AM33" i="19"/>
  <c r="AO33" i="19"/>
  <c r="AP33" i="19"/>
  <c r="AN33" i="19"/>
  <c r="AQ33" i="19"/>
  <c r="AR33" i="19"/>
  <c r="Q34" i="19"/>
  <c r="R34" i="19"/>
  <c r="S34" i="19"/>
  <c r="T34" i="19"/>
  <c r="V34" i="19"/>
  <c r="W34" i="19"/>
  <c r="X34" i="19"/>
  <c r="AA34" i="19"/>
  <c r="AB34" i="19"/>
  <c r="AI34" i="19"/>
  <c r="AM34" i="19"/>
  <c r="AQ34" i="19"/>
  <c r="Q35" i="19"/>
  <c r="R35" i="19"/>
  <c r="S35" i="19"/>
  <c r="U35" i="19"/>
  <c r="W35" i="19"/>
  <c r="Y35" i="19"/>
  <c r="AA35" i="19"/>
  <c r="AI35" i="19"/>
  <c r="AM35" i="19"/>
  <c r="AO35" i="19"/>
  <c r="AP35" i="19"/>
  <c r="AQ35" i="19"/>
  <c r="AR35" i="19"/>
  <c r="Q36" i="19"/>
  <c r="R36" i="19"/>
  <c r="S36" i="19"/>
  <c r="T36" i="19"/>
  <c r="V36" i="19"/>
  <c r="W36" i="19"/>
  <c r="X36" i="19"/>
  <c r="AA36" i="19"/>
  <c r="AI36" i="19"/>
  <c r="AM36" i="19"/>
  <c r="AO36" i="19"/>
  <c r="AP36" i="19"/>
  <c r="AN36" i="19"/>
  <c r="AQ36" i="19"/>
  <c r="AR36" i="19"/>
  <c r="Q37" i="19"/>
  <c r="R37" i="19"/>
  <c r="S37" i="19"/>
  <c r="U37" i="19"/>
  <c r="W37" i="19"/>
  <c r="X37" i="19"/>
  <c r="AA37" i="19"/>
  <c r="AB37" i="19"/>
  <c r="AD37" i="19"/>
  <c r="AI37" i="19"/>
  <c r="AM37" i="19"/>
  <c r="AN37" i="19"/>
  <c r="AQ37" i="19"/>
  <c r="Q38" i="19"/>
  <c r="R38" i="19"/>
  <c r="S38" i="19"/>
  <c r="T38" i="19"/>
  <c r="W38" i="19"/>
  <c r="X38" i="19"/>
  <c r="AA38" i="19"/>
  <c r="AC38" i="19"/>
  <c r="AI38" i="19"/>
  <c r="AJ38" i="19"/>
  <c r="AM38" i="19"/>
  <c r="AN38" i="19"/>
  <c r="AQ38" i="19"/>
  <c r="Q39" i="19"/>
  <c r="R39" i="19"/>
  <c r="S39" i="19"/>
  <c r="U39" i="19"/>
  <c r="W39" i="19"/>
  <c r="X39" i="19"/>
  <c r="AA39" i="19"/>
  <c r="AB39" i="19"/>
  <c r="AI39" i="19"/>
  <c r="AJ39" i="19"/>
  <c r="AM39" i="19"/>
  <c r="AO39" i="19"/>
  <c r="AP39" i="19"/>
  <c r="AQ39" i="19"/>
  <c r="AS39" i="19"/>
  <c r="AT39" i="19"/>
  <c r="Q40" i="19"/>
  <c r="R40" i="19"/>
  <c r="S40" i="19"/>
  <c r="W40" i="19"/>
  <c r="AA40" i="19"/>
  <c r="AB40" i="19"/>
  <c r="AD40" i="19"/>
  <c r="AI40" i="19"/>
  <c r="AJ40" i="19"/>
  <c r="AK40" i="19"/>
  <c r="AL40" i="19"/>
  <c r="AM40" i="19"/>
  <c r="AO40" i="19"/>
  <c r="AP40" i="19"/>
  <c r="AQ40" i="19"/>
  <c r="AS40" i="19"/>
  <c r="AT40" i="19"/>
  <c r="Q41" i="19"/>
  <c r="R41" i="19"/>
  <c r="S41" i="19"/>
  <c r="T41" i="19"/>
  <c r="V41" i="19"/>
  <c r="W41" i="19"/>
  <c r="X41" i="19"/>
  <c r="AA41" i="19"/>
  <c r="AB41" i="19"/>
  <c r="AD41" i="19"/>
  <c r="AI41" i="19"/>
  <c r="AK41" i="19"/>
  <c r="AL41" i="19"/>
  <c r="AM41" i="19"/>
  <c r="AN41" i="19"/>
  <c r="AQ41" i="19"/>
  <c r="AS41" i="19"/>
  <c r="AT41" i="19"/>
  <c r="Q42" i="19"/>
  <c r="R42" i="19"/>
  <c r="S42" i="19"/>
  <c r="W42" i="19"/>
  <c r="Y42" i="19"/>
  <c r="AA42" i="19"/>
  <c r="AC42" i="19"/>
  <c r="AI42" i="19"/>
  <c r="AK42" i="19"/>
  <c r="AL42" i="19"/>
  <c r="AM42" i="19"/>
  <c r="AO42" i="19"/>
  <c r="AP42" i="19"/>
  <c r="AQ42" i="19"/>
  <c r="D49" i="19"/>
  <c r="Q49" i="19"/>
  <c r="R49" i="19"/>
  <c r="S49" i="19"/>
  <c r="T49" i="19"/>
  <c r="W49" i="19"/>
  <c r="Y49" i="19"/>
  <c r="AC49" i="19"/>
  <c r="AA49" i="19"/>
  <c r="AB49" i="19"/>
  <c r="D50" i="19"/>
  <c r="Q50" i="19"/>
  <c r="R50" i="19"/>
  <c r="S50" i="19"/>
  <c r="T50" i="19"/>
  <c r="W50" i="19"/>
  <c r="X50" i="19"/>
  <c r="AA50" i="19"/>
  <c r="AC50" i="19"/>
  <c r="D51" i="19"/>
  <c r="Q51" i="19"/>
  <c r="R51" i="19"/>
  <c r="S51" i="19"/>
  <c r="T51" i="19"/>
  <c r="V51" i="19"/>
  <c r="W51" i="19"/>
  <c r="X51" i="19"/>
  <c r="AA51" i="19"/>
  <c r="AB51" i="19"/>
  <c r="D52" i="19"/>
  <c r="Q52" i="19"/>
  <c r="R52" i="19"/>
  <c r="S52" i="19"/>
  <c r="W52" i="19"/>
  <c r="Y52" i="19"/>
  <c r="AA52" i="19"/>
  <c r="AB52" i="19"/>
  <c r="AI52" i="19"/>
  <c r="AM52" i="19"/>
  <c r="AN52" i="19"/>
  <c r="AQ52" i="19"/>
  <c r="D53" i="19"/>
  <c r="Q53" i="19"/>
  <c r="R53" i="19"/>
  <c r="S53" i="19"/>
  <c r="W53" i="19"/>
  <c r="AA53" i="19"/>
  <c r="AB53" i="19"/>
  <c r="AI53" i="19"/>
  <c r="AJ53" i="19"/>
  <c r="AM53" i="19"/>
  <c r="AN53" i="19"/>
  <c r="AQ53" i="19"/>
  <c r="D54" i="19"/>
  <c r="Q54" i="19"/>
  <c r="R54" i="19"/>
  <c r="S54" i="19"/>
  <c r="T54" i="19"/>
  <c r="W54" i="19"/>
  <c r="Y54" i="19"/>
  <c r="AA54" i="19"/>
  <c r="AB54" i="19"/>
  <c r="AI54" i="19"/>
  <c r="AM54" i="19"/>
  <c r="AN54" i="19"/>
  <c r="AQ54" i="19"/>
  <c r="AS54" i="19"/>
  <c r="AT54" i="19"/>
  <c r="D55" i="19"/>
  <c r="Q55" i="19"/>
  <c r="R55" i="19"/>
  <c r="S55" i="19"/>
  <c r="T55" i="19"/>
  <c r="W55" i="19"/>
  <c r="Y55" i="19"/>
  <c r="AA55" i="19"/>
  <c r="AI55" i="19"/>
  <c r="AJ55" i="19"/>
  <c r="AM55" i="19"/>
  <c r="AN55" i="19"/>
  <c r="AQ55" i="19"/>
  <c r="D56" i="19"/>
  <c r="Q56" i="19"/>
  <c r="R56" i="19"/>
  <c r="S56" i="19"/>
  <c r="U56" i="19"/>
  <c r="W56" i="19"/>
  <c r="X56" i="19"/>
  <c r="AA56" i="19"/>
  <c r="AB56" i="19"/>
  <c r="AI56" i="19"/>
  <c r="AJ56" i="19"/>
  <c r="AM56" i="19"/>
  <c r="AQ56" i="19"/>
  <c r="D57" i="19"/>
  <c r="Q57" i="19"/>
  <c r="R57" i="19"/>
  <c r="S57" i="19"/>
  <c r="T57" i="19"/>
  <c r="V57" i="19"/>
  <c r="W57" i="19"/>
  <c r="Y57" i="19"/>
  <c r="AC57" i="19"/>
  <c r="AA57" i="19"/>
  <c r="AB57" i="19"/>
  <c r="AI57" i="19"/>
  <c r="AK57" i="19"/>
  <c r="AL57" i="19"/>
  <c r="AM57" i="19"/>
  <c r="AN57" i="19"/>
  <c r="AQ57" i="19"/>
  <c r="D58" i="19"/>
  <c r="Q58" i="19"/>
  <c r="R58" i="19"/>
  <c r="S58" i="19"/>
  <c r="T58" i="19"/>
  <c r="W58" i="19"/>
  <c r="Y58" i="19"/>
  <c r="AC58" i="19"/>
  <c r="AA58" i="19"/>
  <c r="AI58" i="19"/>
  <c r="AJ58" i="19"/>
  <c r="AM58" i="19"/>
  <c r="AQ58" i="19"/>
  <c r="D59" i="19"/>
  <c r="Q59" i="19"/>
  <c r="R59" i="19"/>
  <c r="S59" i="19"/>
  <c r="T59" i="19"/>
  <c r="W59" i="19"/>
  <c r="Y59" i="19"/>
  <c r="AA59" i="19"/>
  <c r="AC59" i="19"/>
  <c r="AI59" i="19"/>
  <c r="AM59" i="19"/>
  <c r="AO59" i="19"/>
  <c r="AP59" i="19"/>
  <c r="AQ59" i="19"/>
  <c r="AS59" i="19"/>
  <c r="AT59" i="19"/>
  <c r="D60" i="19"/>
  <c r="Q60" i="19"/>
  <c r="R60" i="19"/>
  <c r="S60" i="19"/>
  <c r="U60" i="19"/>
  <c r="W60" i="19"/>
  <c r="Y60" i="19"/>
  <c r="AA60" i="19"/>
  <c r="AC60" i="19"/>
  <c r="AI60" i="19"/>
  <c r="AJ60" i="19"/>
  <c r="AM60" i="19"/>
  <c r="AQ60" i="19"/>
  <c r="D61" i="19"/>
  <c r="Q61" i="19"/>
  <c r="R61" i="19"/>
  <c r="S61" i="19"/>
  <c r="U61" i="19"/>
  <c r="W61" i="19"/>
  <c r="Y61" i="19"/>
  <c r="AA61" i="19"/>
  <c r="AI61" i="19"/>
  <c r="AM61" i="19"/>
  <c r="AQ61" i="19"/>
  <c r="AS61" i="19"/>
  <c r="AT61" i="19"/>
  <c r="D62" i="19"/>
  <c r="Q62" i="19"/>
  <c r="R62" i="19"/>
  <c r="S62" i="19"/>
  <c r="W62" i="19"/>
  <c r="Y62" i="19"/>
  <c r="X62" i="19"/>
  <c r="Z62" i="19"/>
  <c r="AA62" i="19"/>
  <c r="AI62" i="19"/>
  <c r="AM62" i="19"/>
  <c r="AO62" i="19"/>
  <c r="AQ62" i="19"/>
  <c r="AR62" i="19"/>
  <c r="AS62" i="19"/>
  <c r="AT62" i="19"/>
  <c r="Q70" i="19"/>
  <c r="R70" i="19"/>
  <c r="S70" i="19"/>
  <c r="T70" i="19"/>
  <c r="W70" i="19"/>
  <c r="X70" i="19"/>
  <c r="AA70" i="19"/>
  <c r="AB70" i="19"/>
  <c r="Q71" i="19"/>
  <c r="R71" i="19"/>
  <c r="S71" i="19"/>
  <c r="T71" i="19"/>
  <c r="W71" i="19"/>
  <c r="AA71" i="19"/>
  <c r="Q72" i="19"/>
  <c r="S72" i="19"/>
  <c r="T72" i="19"/>
  <c r="W72" i="19"/>
  <c r="X72" i="19"/>
  <c r="AA72" i="19"/>
  <c r="AB72" i="19"/>
  <c r="AM72" i="19"/>
  <c r="AN72" i="19"/>
  <c r="Q73" i="19"/>
  <c r="R73" i="19"/>
  <c r="S73" i="19"/>
  <c r="T73" i="19"/>
  <c r="W73" i="19"/>
  <c r="X73" i="19"/>
  <c r="AA73" i="19"/>
  <c r="AC73" i="19"/>
  <c r="AK73" i="19"/>
  <c r="AL73" i="19"/>
  <c r="AI73" i="19"/>
  <c r="AJ73" i="19"/>
  <c r="AM73" i="19"/>
  <c r="AN73" i="19"/>
  <c r="AQ73" i="19"/>
  <c r="AR73" i="19"/>
  <c r="Q74" i="19"/>
  <c r="R74" i="19"/>
  <c r="S74" i="19"/>
  <c r="T74" i="19"/>
  <c r="W74" i="19"/>
  <c r="X74" i="19"/>
  <c r="AA74" i="19"/>
  <c r="AI74" i="19"/>
  <c r="AJ74" i="19"/>
  <c r="AM74" i="19"/>
  <c r="AN74" i="19"/>
  <c r="AQ74" i="19"/>
  <c r="AS74" i="19"/>
  <c r="AT74" i="19"/>
  <c r="AR74" i="19"/>
  <c r="Q75" i="19"/>
  <c r="R75" i="19"/>
  <c r="S75" i="19"/>
  <c r="T75" i="19"/>
  <c r="W75" i="19"/>
  <c r="X75" i="19"/>
  <c r="AA75" i="19"/>
  <c r="AB75" i="19"/>
  <c r="AD75" i="19"/>
  <c r="AI75" i="19"/>
  <c r="AJ75" i="19"/>
  <c r="AM75" i="19"/>
  <c r="AN75" i="19"/>
  <c r="AQ75" i="19"/>
  <c r="Q76" i="19"/>
  <c r="R76" i="19"/>
  <c r="S76" i="19"/>
  <c r="U76" i="19"/>
  <c r="W76" i="19"/>
  <c r="X76" i="19"/>
  <c r="AA76" i="19"/>
  <c r="AB76" i="19"/>
  <c r="AI76" i="19"/>
  <c r="AJ76" i="19"/>
  <c r="AM76" i="19"/>
  <c r="AO76" i="19"/>
  <c r="AP76" i="19"/>
  <c r="AN76" i="19"/>
  <c r="AQ76" i="19"/>
  <c r="AS76" i="19"/>
  <c r="AT76" i="19"/>
  <c r="Q77" i="19"/>
  <c r="R77" i="19"/>
  <c r="S77" i="19"/>
  <c r="U77" i="19"/>
  <c r="W77" i="19"/>
  <c r="X77" i="19"/>
  <c r="Z77" i="19"/>
  <c r="Y77" i="19"/>
  <c r="AC77" i="19"/>
  <c r="AD77" i="19"/>
  <c r="AA77" i="19"/>
  <c r="AI77" i="19"/>
  <c r="AJ77" i="19"/>
  <c r="AM77" i="19"/>
  <c r="AN77" i="19"/>
  <c r="AQ77" i="19"/>
  <c r="AS77" i="19"/>
  <c r="AT77" i="19"/>
  <c r="Q78" i="19"/>
  <c r="R78" i="19"/>
  <c r="S78" i="19"/>
  <c r="U78" i="19"/>
  <c r="W78" i="19"/>
  <c r="AA78" i="19"/>
  <c r="AB78" i="19"/>
  <c r="AD78" i="19"/>
  <c r="AI78" i="19"/>
  <c r="AJ78" i="19"/>
  <c r="AM78" i="19"/>
  <c r="AN78" i="19"/>
  <c r="AQ78" i="19"/>
  <c r="Q79" i="19"/>
  <c r="R79" i="19"/>
  <c r="S79" i="19"/>
  <c r="T79" i="19"/>
  <c r="W79" i="19"/>
  <c r="Y79" i="19"/>
  <c r="AA79" i="19"/>
  <c r="AB79" i="19"/>
  <c r="AD79" i="19"/>
  <c r="AI79" i="19"/>
  <c r="AJ79" i="19"/>
  <c r="AM79" i="19"/>
  <c r="AN79" i="19"/>
  <c r="AQ79" i="19"/>
  <c r="AR79" i="19"/>
  <c r="Q80" i="19"/>
  <c r="R80" i="19"/>
  <c r="S80" i="19"/>
  <c r="U80" i="19"/>
  <c r="W80" i="19"/>
  <c r="X80" i="19"/>
  <c r="Z80" i="19"/>
  <c r="AA80" i="19"/>
  <c r="AC80" i="19"/>
  <c r="AI80" i="19"/>
  <c r="AM80" i="19"/>
  <c r="AN80" i="19"/>
  <c r="AQ80" i="19"/>
  <c r="Q81" i="19"/>
  <c r="R81" i="19"/>
  <c r="S81" i="19"/>
  <c r="T81" i="19"/>
  <c r="V81" i="19"/>
  <c r="W81" i="19"/>
  <c r="X81" i="19"/>
  <c r="AA81" i="19"/>
  <c r="AC81" i="19"/>
  <c r="AK81" i="19"/>
  <c r="AL81" i="19"/>
  <c r="AI81" i="19"/>
  <c r="AM81" i="19"/>
  <c r="AO81" i="19"/>
  <c r="AP81" i="19"/>
  <c r="AQ81" i="19"/>
  <c r="AS81" i="19"/>
  <c r="AT81" i="19"/>
  <c r="AR81" i="19"/>
  <c r="Q82" i="19"/>
  <c r="R82" i="19"/>
  <c r="S82" i="19"/>
  <c r="T82" i="19"/>
  <c r="W82" i="19"/>
  <c r="AA82" i="19"/>
  <c r="AI82" i="19"/>
  <c r="AJ82" i="19"/>
  <c r="AM82" i="19"/>
  <c r="AQ82" i="19"/>
  <c r="Q83" i="19"/>
  <c r="R83" i="19"/>
  <c r="S83" i="19"/>
  <c r="U83" i="19"/>
  <c r="W83" i="19"/>
  <c r="X83" i="19"/>
  <c r="AA83" i="19"/>
  <c r="AB83" i="19"/>
  <c r="AD83" i="19"/>
  <c r="AI83" i="19"/>
  <c r="AJ83" i="19"/>
  <c r="AM83" i="19"/>
  <c r="AN83" i="19"/>
  <c r="AQ83" i="19"/>
  <c r="AR83" i="19"/>
  <c r="Q90" i="19"/>
  <c r="R90" i="19"/>
  <c r="S90" i="19"/>
  <c r="W90" i="19"/>
  <c r="Y90" i="19"/>
  <c r="AA90" i="19"/>
  <c r="AM90" i="19"/>
  <c r="AO90" i="19"/>
  <c r="AP90" i="19"/>
  <c r="D91" i="19"/>
  <c r="Q91" i="19"/>
  <c r="R91" i="19"/>
  <c r="S91" i="19"/>
  <c r="T91" i="19"/>
  <c r="W91" i="19"/>
  <c r="X91" i="19"/>
  <c r="AA91" i="19"/>
  <c r="D92" i="19"/>
  <c r="Q92" i="19"/>
  <c r="R92" i="19"/>
  <c r="S92" i="19"/>
  <c r="U92" i="19"/>
  <c r="W92" i="19"/>
  <c r="Y92" i="19"/>
  <c r="AA92" i="19"/>
  <c r="AB92" i="19"/>
  <c r="AI92" i="19"/>
  <c r="AJ92" i="19"/>
  <c r="D93" i="19"/>
  <c r="Q93" i="19"/>
  <c r="R93" i="19"/>
  <c r="S93" i="19"/>
  <c r="T93" i="19"/>
  <c r="AA93" i="19"/>
  <c r="AI93" i="19"/>
  <c r="AJ93" i="19"/>
  <c r="AM93" i="19"/>
  <c r="AN93" i="19"/>
  <c r="AQ93" i="19"/>
  <c r="AR93" i="19"/>
  <c r="D94" i="19"/>
  <c r="Q94" i="19"/>
  <c r="R94" i="19"/>
  <c r="S94" i="19"/>
  <c r="T94" i="19"/>
  <c r="V94" i="19"/>
  <c r="W94" i="19"/>
  <c r="X94" i="19"/>
  <c r="AA94" i="19"/>
  <c r="AI94" i="19"/>
  <c r="AM94" i="19"/>
  <c r="AO94" i="19"/>
  <c r="AP94" i="19"/>
  <c r="AQ94" i="19"/>
  <c r="AS94" i="19"/>
  <c r="AT94" i="19"/>
  <c r="D95" i="19"/>
  <c r="Q95" i="19"/>
  <c r="R95" i="19"/>
  <c r="S95" i="19"/>
  <c r="W95" i="19"/>
  <c r="X95" i="19"/>
  <c r="AA95" i="19"/>
  <c r="AI95" i="19"/>
  <c r="AM95" i="19"/>
  <c r="AN95" i="19"/>
  <c r="AQ95" i="19"/>
  <c r="D96" i="19"/>
  <c r="Q96" i="19"/>
  <c r="R96" i="19"/>
  <c r="S96" i="19"/>
  <c r="W96" i="19"/>
  <c r="Y96" i="19"/>
  <c r="AA96" i="19"/>
  <c r="AI96" i="19"/>
  <c r="AJ96" i="19"/>
  <c r="AM96" i="19"/>
  <c r="AO96" i="19"/>
  <c r="AP96" i="19"/>
  <c r="AQ96" i="19"/>
  <c r="AR96" i="19"/>
  <c r="D97" i="19"/>
  <c r="Q97" i="19"/>
  <c r="R97" i="19"/>
  <c r="S97" i="19"/>
  <c r="T97" i="19"/>
  <c r="V97" i="19"/>
  <c r="W97" i="19"/>
  <c r="Y97" i="19"/>
  <c r="AA97" i="19"/>
  <c r="AC97" i="19"/>
  <c r="AI97" i="19"/>
  <c r="AJ97" i="19"/>
  <c r="AM97" i="19"/>
  <c r="AN97" i="19"/>
  <c r="AQ97" i="19"/>
  <c r="AR97" i="19"/>
  <c r="D98" i="19"/>
  <c r="Q98" i="19"/>
  <c r="R98" i="19"/>
  <c r="S98" i="19"/>
  <c r="T98" i="19"/>
  <c r="V98" i="19"/>
  <c r="U98" i="19"/>
  <c r="W98" i="19"/>
  <c r="Y98" i="19"/>
  <c r="AA98" i="19"/>
  <c r="AB98" i="19"/>
  <c r="AI98" i="19"/>
  <c r="AM98" i="19"/>
  <c r="AN98" i="19"/>
  <c r="AO98" i="19"/>
  <c r="AP98" i="19"/>
  <c r="AQ98" i="19"/>
  <c r="D99" i="19"/>
  <c r="Q99" i="19"/>
  <c r="R99" i="19"/>
  <c r="S99" i="19"/>
  <c r="T99" i="19"/>
  <c r="W99" i="19"/>
  <c r="Y99" i="19"/>
  <c r="AA99" i="19"/>
  <c r="AB99" i="19"/>
  <c r="AD99" i="19"/>
  <c r="AI99" i="19"/>
  <c r="AJ99" i="19"/>
  <c r="AM99" i="19"/>
  <c r="AO99" i="19"/>
  <c r="AP99" i="19"/>
  <c r="AQ99" i="19"/>
  <c r="AS99" i="19"/>
  <c r="AT99" i="19"/>
  <c r="D100" i="19"/>
  <c r="Q100" i="19"/>
  <c r="R100" i="19"/>
  <c r="S100" i="19"/>
  <c r="U100" i="19"/>
  <c r="W100" i="19"/>
  <c r="Y100" i="19"/>
  <c r="AC100" i="19"/>
  <c r="AA100" i="19"/>
  <c r="AB100" i="19"/>
  <c r="AD100" i="19"/>
  <c r="AI100" i="19"/>
  <c r="AJ100" i="19"/>
  <c r="AM100" i="19"/>
  <c r="AN100" i="19"/>
  <c r="AQ100" i="19"/>
  <c r="AR100" i="19"/>
  <c r="D101" i="19"/>
  <c r="Q101" i="19"/>
  <c r="R101" i="19"/>
  <c r="S101" i="19"/>
  <c r="T101" i="19"/>
  <c r="W101" i="19"/>
  <c r="X101" i="19"/>
  <c r="AA101" i="19"/>
  <c r="AB101" i="19"/>
  <c r="AI101" i="19"/>
  <c r="AJ101" i="19"/>
  <c r="AM101" i="19"/>
  <c r="AN101" i="19"/>
  <c r="AQ101" i="19"/>
  <c r="AR101" i="19"/>
  <c r="D102" i="19"/>
  <c r="Q102" i="19"/>
  <c r="R102" i="19"/>
  <c r="S102" i="19"/>
  <c r="T102" i="19"/>
  <c r="V102" i="19"/>
  <c r="W102" i="19"/>
  <c r="X102" i="19"/>
  <c r="AA102" i="19"/>
  <c r="AB102" i="19"/>
  <c r="AI102" i="19"/>
  <c r="AJ102" i="19"/>
  <c r="AM102" i="19"/>
  <c r="AN102" i="19"/>
  <c r="AQ102" i="19"/>
  <c r="AR102" i="19"/>
  <c r="D103" i="19"/>
  <c r="Q103" i="19"/>
  <c r="R103" i="19"/>
  <c r="S103" i="19"/>
  <c r="T103" i="19"/>
  <c r="V103" i="19"/>
  <c r="W103" i="19"/>
  <c r="AA103" i="19"/>
  <c r="AC103" i="19"/>
  <c r="AK103" i="19"/>
  <c r="AL103" i="19"/>
  <c r="AB103" i="19"/>
  <c r="AD103" i="19"/>
  <c r="AI103" i="19"/>
  <c r="AJ103" i="19"/>
  <c r="AM103" i="19"/>
  <c r="AN103" i="19"/>
  <c r="AQ103" i="19"/>
  <c r="Q111" i="19"/>
  <c r="R111" i="19"/>
  <c r="S111" i="19"/>
  <c r="T111" i="19"/>
  <c r="W111" i="19"/>
  <c r="Y111" i="19"/>
  <c r="AA111" i="19"/>
  <c r="AC111" i="19"/>
  <c r="AI111" i="19"/>
  <c r="AJ111" i="19"/>
  <c r="Q112" i="19"/>
  <c r="R112" i="19"/>
  <c r="S112" i="19"/>
  <c r="T112" i="19"/>
  <c r="W112" i="19"/>
  <c r="X112" i="19"/>
  <c r="AA112" i="19"/>
  <c r="AI112" i="19"/>
  <c r="Q113" i="19"/>
  <c r="R113" i="19"/>
  <c r="S113" i="19"/>
  <c r="U113" i="19"/>
  <c r="W113" i="19"/>
  <c r="X113" i="19"/>
  <c r="AA113" i="19"/>
  <c r="AI113" i="19"/>
  <c r="AJ113" i="19"/>
  <c r="Q114" i="19"/>
  <c r="S114" i="19"/>
  <c r="U114" i="19"/>
  <c r="W114" i="19"/>
  <c r="Y114" i="19"/>
  <c r="AA114" i="19"/>
  <c r="AC114" i="19"/>
  <c r="AM114" i="19"/>
  <c r="AO114" i="19"/>
  <c r="AP114" i="19"/>
  <c r="Q115" i="19"/>
  <c r="R115" i="19"/>
  <c r="S115" i="19"/>
  <c r="U115" i="19"/>
  <c r="AA115" i="19"/>
  <c r="AB115" i="19"/>
  <c r="AI115" i="19"/>
  <c r="AJ115" i="19"/>
  <c r="Q116" i="19"/>
  <c r="R116" i="19"/>
  <c r="S116" i="19"/>
  <c r="U116" i="19"/>
  <c r="W116" i="19"/>
  <c r="Y116" i="19"/>
  <c r="AC116" i="19"/>
  <c r="AD116" i="19"/>
  <c r="AA116" i="19"/>
  <c r="AM116" i="19"/>
  <c r="AN116" i="19"/>
  <c r="Q117" i="19"/>
  <c r="R117" i="19"/>
  <c r="S117" i="19"/>
  <c r="U117" i="19"/>
  <c r="W117" i="19"/>
  <c r="Y117" i="19"/>
  <c r="AA117" i="19"/>
  <c r="AC117" i="19"/>
  <c r="AI117" i="19"/>
  <c r="Q118" i="19"/>
  <c r="R118" i="19"/>
  <c r="S118" i="19"/>
  <c r="T118" i="19"/>
  <c r="V118" i="19"/>
  <c r="U118" i="19"/>
  <c r="W118" i="19"/>
  <c r="Y118" i="19"/>
  <c r="AC118" i="19"/>
  <c r="AA118" i="19"/>
  <c r="AB118" i="19"/>
  <c r="AD118" i="19"/>
  <c r="AI118" i="19"/>
  <c r="AK118" i="19"/>
  <c r="AL118" i="19"/>
  <c r="Q119" i="19"/>
  <c r="R119" i="19"/>
  <c r="S119" i="19"/>
  <c r="AA119" i="19"/>
  <c r="AB119" i="19"/>
  <c r="AD119" i="19"/>
  <c r="AI119" i="19"/>
  <c r="AJ119" i="19"/>
  <c r="Q120" i="19"/>
  <c r="R120" i="19"/>
  <c r="S120" i="19"/>
  <c r="T120" i="19"/>
  <c r="W120" i="19"/>
  <c r="Y120" i="19"/>
  <c r="AA120" i="19"/>
  <c r="AB120" i="19"/>
  <c r="AD120" i="19"/>
  <c r="Q121" i="19"/>
  <c r="R121" i="19"/>
  <c r="S121" i="19"/>
  <c r="T121" i="19"/>
  <c r="V121" i="19"/>
  <c r="W121" i="19"/>
  <c r="X121" i="19"/>
  <c r="AA121" i="19"/>
  <c r="AC121" i="19"/>
  <c r="AI121" i="19"/>
  <c r="AJ121" i="19"/>
  <c r="Q122" i="19"/>
  <c r="R122" i="19"/>
  <c r="S122" i="19"/>
  <c r="W122" i="19"/>
  <c r="X122" i="19"/>
  <c r="Z122" i="19"/>
  <c r="AA122" i="19"/>
  <c r="AI122" i="19"/>
  <c r="Q123" i="19"/>
  <c r="R123" i="19"/>
  <c r="S123" i="19"/>
  <c r="U123" i="19"/>
  <c r="AA123" i="19"/>
  <c r="AM123" i="19"/>
  <c r="AN123" i="19"/>
  <c r="AR123" i="19"/>
  <c r="Q124" i="19"/>
  <c r="R124" i="19"/>
  <c r="S124" i="19"/>
  <c r="T124" i="19"/>
  <c r="W124" i="19"/>
  <c r="Y124" i="19"/>
  <c r="AA124" i="19"/>
  <c r="AC124" i="19"/>
  <c r="AI124" i="19"/>
  <c r="D131" i="19"/>
  <c r="Q131" i="19"/>
  <c r="R131" i="19"/>
  <c r="S131" i="19"/>
  <c r="U131" i="19"/>
  <c r="W131" i="19"/>
  <c r="X131" i="19"/>
  <c r="AA131" i="19"/>
  <c r="AB131" i="19"/>
  <c r="AD131" i="19"/>
  <c r="AI131" i="19"/>
  <c r="D132" i="19"/>
  <c r="Q132" i="19"/>
  <c r="R132" i="19"/>
  <c r="S132" i="19"/>
  <c r="T132" i="19"/>
  <c r="W132" i="19"/>
  <c r="X132" i="19"/>
  <c r="AA132" i="19"/>
  <c r="AB132" i="19"/>
  <c r="AD132" i="19"/>
  <c r="D133" i="19"/>
  <c r="Q133" i="19"/>
  <c r="R133" i="19"/>
  <c r="S133" i="19"/>
  <c r="T133" i="19"/>
  <c r="W133" i="19"/>
  <c r="X133" i="19"/>
  <c r="AA133" i="19"/>
  <c r="AB133" i="19"/>
  <c r="AD133" i="19"/>
  <c r="D134" i="19"/>
  <c r="Q134" i="19"/>
  <c r="R134" i="19"/>
  <c r="S134" i="19"/>
  <c r="T134" i="19"/>
  <c r="W134" i="19"/>
  <c r="X134" i="19"/>
  <c r="AA134" i="19"/>
  <c r="AB134" i="19"/>
  <c r="AD134" i="19"/>
  <c r="D135" i="19"/>
  <c r="Q135" i="19"/>
  <c r="R135" i="19"/>
  <c r="S135" i="19"/>
  <c r="T135" i="19"/>
  <c r="AA135" i="19"/>
  <c r="AB135" i="19"/>
  <c r="AI135" i="19"/>
  <c r="AJ135" i="19"/>
  <c r="D136" i="19"/>
  <c r="Q136" i="19"/>
  <c r="R136" i="19"/>
  <c r="S136" i="19"/>
  <c r="U136" i="19"/>
  <c r="W136" i="19"/>
  <c r="X136" i="19"/>
  <c r="AA136" i="19"/>
  <c r="AB136" i="19"/>
  <c r="AD136" i="19"/>
  <c r="AI136" i="19"/>
  <c r="AJ136" i="19"/>
  <c r="D137" i="19"/>
  <c r="Q137" i="19"/>
  <c r="R137" i="19"/>
  <c r="S137" i="19"/>
  <c r="U137" i="19"/>
  <c r="W137" i="19"/>
  <c r="Y137" i="19"/>
  <c r="AA137" i="19"/>
  <c r="AB137" i="19"/>
  <c r="AD137" i="19"/>
  <c r="D138" i="19"/>
  <c r="Q138" i="19"/>
  <c r="R138" i="19"/>
  <c r="S138" i="19"/>
  <c r="W138" i="19"/>
  <c r="Y138" i="19"/>
  <c r="AA138" i="19"/>
  <c r="AC138" i="19"/>
  <c r="D139" i="19"/>
  <c r="Q139" i="19"/>
  <c r="R139" i="19"/>
  <c r="S139" i="19"/>
  <c r="U139" i="19"/>
  <c r="W139" i="19"/>
  <c r="X139" i="19"/>
  <c r="AA139" i="19"/>
  <c r="AB139" i="19"/>
  <c r="D140" i="19"/>
  <c r="Q140" i="19"/>
  <c r="R140" i="19"/>
  <c r="S140" i="19"/>
  <c r="W140" i="19"/>
  <c r="X140" i="19"/>
  <c r="AA140" i="19"/>
  <c r="AC140" i="19"/>
  <c r="AK140" i="19"/>
  <c r="AL140" i="19"/>
  <c r="AI140" i="19"/>
  <c r="AJ140" i="19"/>
  <c r="AM140" i="19"/>
  <c r="AN140" i="19"/>
  <c r="D141" i="19"/>
  <c r="Q141" i="19"/>
  <c r="R141" i="19"/>
  <c r="S141" i="19"/>
  <c r="U141" i="19"/>
  <c r="W141" i="19"/>
  <c r="Y141" i="19"/>
  <c r="AA141" i="19"/>
  <c r="AB141" i="19"/>
  <c r="D142" i="19"/>
  <c r="Q142" i="19"/>
  <c r="R142" i="19"/>
  <c r="S142" i="19"/>
  <c r="AA142" i="19"/>
  <c r="D143" i="19"/>
  <c r="Q143" i="19"/>
  <c r="R143" i="19"/>
  <c r="S143" i="19"/>
  <c r="T143" i="19"/>
  <c r="AA143" i="19"/>
  <c r="AC143" i="19"/>
  <c r="AK143" i="19"/>
  <c r="AL143" i="19"/>
  <c r="AI143" i="19"/>
  <c r="AJ143" i="19"/>
  <c r="AQ143" i="19"/>
  <c r="D144" i="19"/>
  <c r="Q144" i="19"/>
  <c r="R144" i="19"/>
  <c r="S144" i="19"/>
  <c r="T144" i="19"/>
  <c r="W144" i="19"/>
  <c r="X144" i="19"/>
  <c r="AA144" i="19"/>
  <c r="AB144" i="19"/>
  <c r="AD144" i="19"/>
  <c r="C2" i="15"/>
  <c r="N24" i="15"/>
  <c r="O24" i="15"/>
  <c r="P24" i="15"/>
  <c r="R24" i="15"/>
  <c r="S24" i="15"/>
  <c r="T24" i="15"/>
  <c r="U24" i="15"/>
  <c r="X24" i="15"/>
  <c r="AB24" i="15"/>
  <c r="AD24" i="15"/>
  <c r="AE24" i="15"/>
  <c r="AC24" i="15"/>
  <c r="AF24" i="15"/>
  <c r="AH24" i="15"/>
  <c r="AI24" i="15"/>
  <c r="AJ24" i="15"/>
  <c r="AK24" i="15"/>
  <c r="AJ53" i="15"/>
  <c r="N305" i="15"/>
  <c r="O305" i="15"/>
  <c r="P305" i="15"/>
  <c r="Q305" i="15"/>
  <c r="T305" i="15"/>
  <c r="X305" i="15"/>
  <c r="Y305" i="15"/>
  <c r="AB305" i="15"/>
  <c r="AC305" i="15"/>
  <c r="AF305" i="15"/>
  <c r="AH305" i="15"/>
  <c r="AI305" i="15"/>
  <c r="AJ305" i="15"/>
  <c r="AK305" i="15"/>
  <c r="N319" i="15"/>
  <c r="O319" i="15"/>
  <c r="P319" i="15"/>
  <c r="T319" i="15"/>
  <c r="U319" i="15"/>
  <c r="X319" i="15"/>
  <c r="AB319" i="15"/>
  <c r="AD319" i="15"/>
  <c r="AE319" i="15"/>
  <c r="AF319" i="15"/>
  <c r="AJ319" i="15"/>
  <c r="AK319" i="15"/>
  <c r="N320" i="15"/>
  <c r="O320" i="15"/>
  <c r="P320" i="15"/>
  <c r="R320" i="15"/>
  <c r="S320" i="15"/>
  <c r="T320" i="15"/>
  <c r="X320" i="15"/>
  <c r="Y320" i="15"/>
  <c r="AB320" i="15"/>
  <c r="AF320" i="15"/>
  <c r="AG320" i="15"/>
  <c r="AJ320" i="15"/>
  <c r="AK320" i="15"/>
  <c r="N321" i="15"/>
  <c r="O321" i="15"/>
  <c r="P321" i="15"/>
  <c r="T321" i="15"/>
  <c r="V321" i="15"/>
  <c r="W321" i="15"/>
  <c r="X321" i="15"/>
  <c r="Z321" i="15"/>
  <c r="AA321" i="15"/>
  <c r="AB321" i="15"/>
  <c r="AC321" i="15"/>
  <c r="AF321" i="15"/>
  <c r="AG321" i="15"/>
  <c r="AJ321" i="15"/>
  <c r="N322" i="15"/>
  <c r="O322" i="15"/>
  <c r="P322" i="15"/>
  <c r="T322" i="15"/>
  <c r="V322" i="15"/>
  <c r="X322" i="15"/>
  <c r="AB322" i="15"/>
  <c r="AF322" i="15"/>
  <c r="AH322" i="15"/>
  <c r="AI322" i="15"/>
  <c r="AJ322" i="15"/>
  <c r="N323" i="15"/>
  <c r="O323" i="15"/>
  <c r="P323" i="15"/>
  <c r="T323" i="15"/>
  <c r="V323" i="15"/>
  <c r="W323" i="15"/>
  <c r="X323" i="15"/>
  <c r="AB323" i="15"/>
  <c r="AD323" i="15"/>
  <c r="AE323" i="15"/>
  <c r="AF323" i="15"/>
  <c r="AH323" i="15"/>
  <c r="AJ323" i="15"/>
  <c r="N324" i="15"/>
  <c r="O324" i="15"/>
  <c r="P324" i="15"/>
  <c r="R324" i="15"/>
  <c r="S324" i="15"/>
  <c r="T324" i="15"/>
  <c r="X324" i="15"/>
  <c r="Z324" i="15"/>
  <c r="AA324" i="15"/>
  <c r="AB324" i="15"/>
  <c r="AF324" i="15"/>
  <c r="AG324" i="15"/>
  <c r="AJ324" i="15"/>
  <c r="N325" i="15"/>
  <c r="O325" i="15"/>
  <c r="P325" i="15"/>
  <c r="T325" i="15"/>
  <c r="U325" i="15"/>
  <c r="X325" i="15"/>
  <c r="AB325" i="15"/>
  <c r="AD325" i="15"/>
  <c r="AE325" i="15"/>
  <c r="AF325" i="15"/>
  <c r="AJ325" i="15"/>
  <c r="AL325" i="15"/>
  <c r="AM325" i="15"/>
  <c r="N326" i="15"/>
  <c r="O326" i="15"/>
  <c r="P326" i="15"/>
  <c r="Q326" i="15"/>
  <c r="T326" i="15"/>
  <c r="X326" i="15"/>
  <c r="Z326" i="15"/>
  <c r="AA326" i="15"/>
  <c r="AB326" i="15"/>
  <c r="AF326" i="15"/>
  <c r="AG326" i="15"/>
  <c r="AJ326" i="15"/>
  <c r="AK326" i="15"/>
  <c r="N327" i="15"/>
  <c r="O327" i="15"/>
  <c r="P327" i="15"/>
  <c r="Q327" i="15"/>
  <c r="T327" i="15"/>
  <c r="X327" i="15"/>
  <c r="AB327" i="15"/>
  <c r="AD327" i="15"/>
  <c r="AE327" i="15"/>
  <c r="AF327" i="15"/>
  <c r="AG327" i="15"/>
  <c r="AJ327" i="15"/>
  <c r="AL327" i="15"/>
  <c r="AM327" i="15"/>
  <c r="N328" i="15"/>
  <c r="O328" i="15"/>
  <c r="P328" i="15"/>
  <c r="T328" i="15"/>
  <c r="U328" i="15"/>
  <c r="X328" i="15"/>
  <c r="Z328" i="15"/>
  <c r="AA328" i="15"/>
  <c r="Y328" i="15"/>
  <c r="AB328" i="15"/>
  <c r="AF328" i="15"/>
  <c r="AG328" i="15"/>
  <c r="AJ328" i="15"/>
  <c r="AL328" i="15"/>
  <c r="AM328" i="15"/>
  <c r="N329" i="15"/>
  <c r="O329" i="15"/>
  <c r="P329" i="15"/>
  <c r="T329" i="15"/>
  <c r="U329" i="15"/>
  <c r="X329" i="15"/>
  <c r="AB329" i="15"/>
  <c r="AD329" i="15"/>
  <c r="AE329" i="15"/>
  <c r="AF329" i="15"/>
  <c r="AJ329" i="15"/>
  <c r="AL329" i="15"/>
  <c r="AM329" i="15"/>
  <c r="N330" i="15"/>
  <c r="O330" i="15"/>
  <c r="P330" i="15"/>
  <c r="Q330" i="15"/>
  <c r="T330" i="15"/>
  <c r="X330" i="15"/>
  <c r="Y330" i="15"/>
  <c r="AB330" i="15"/>
  <c r="AC330" i="15"/>
  <c r="AF330" i="15"/>
  <c r="AH330" i="15"/>
  <c r="AI330" i="15"/>
  <c r="AJ330" i="15"/>
  <c r="AL330" i="15"/>
  <c r="N331" i="15"/>
  <c r="O331" i="15"/>
  <c r="P331" i="15"/>
  <c r="R331" i="15"/>
  <c r="S331" i="15"/>
  <c r="T331" i="15"/>
  <c r="X331" i="15"/>
  <c r="Z331" i="15"/>
  <c r="AB331" i="15"/>
  <c r="AC331" i="15"/>
  <c r="AF331" i="15"/>
  <c r="AG331" i="15"/>
  <c r="AJ331" i="15"/>
  <c r="N332" i="15"/>
  <c r="O332" i="15"/>
  <c r="P332" i="15"/>
  <c r="Q332" i="15"/>
  <c r="T332" i="15"/>
  <c r="V332" i="15"/>
  <c r="X332" i="15"/>
  <c r="Z332" i="15"/>
  <c r="AA332" i="15"/>
  <c r="AB332" i="15"/>
  <c r="AC332" i="15"/>
  <c r="AF332" i="15"/>
  <c r="AG332" i="15"/>
  <c r="AJ332" i="15"/>
  <c r="N333" i="15"/>
  <c r="O333" i="15"/>
  <c r="P333" i="15"/>
  <c r="T333" i="15"/>
  <c r="V333" i="15"/>
  <c r="U333" i="15"/>
  <c r="X333" i="15"/>
  <c r="Y333" i="15"/>
  <c r="AB333" i="15"/>
  <c r="AF333" i="15"/>
  <c r="AG333" i="15"/>
  <c r="AJ333" i="15"/>
  <c r="AL333" i="15"/>
  <c r="AM333" i="15"/>
  <c r="N334" i="15"/>
  <c r="O334" i="15"/>
  <c r="P334" i="15"/>
  <c r="R334" i="15"/>
  <c r="T334" i="15"/>
  <c r="X334" i="15"/>
  <c r="Z334" i="15"/>
  <c r="AA334" i="15"/>
  <c r="AB334" i="15"/>
  <c r="AC334" i="15"/>
  <c r="AF334" i="15"/>
  <c r="AJ334" i="15"/>
  <c r="N335" i="15"/>
  <c r="O335" i="15"/>
  <c r="P335" i="15"/>
  <c r="Q335" i="15"/>
  <c r="T335" i="15"/>
  <c r="V335" i="15"/>
  <c r="W335" i="15"/>
  <c r="X335" i="15"/>
  <c r="Y335" i="15"/>
  <c r="AB335" i="15"/>
  <c r="AF335" i="15"/>
  <c r="AG335" i="15"/>
  <c r="AJ335" i="15"/>
  <c r="AK335" i="15"/>
  <c r="N336" i="15"/>
  <c r="O336" i="15"/>
  <c r="P336" i="15"/>
  <c r="R336" i="15"/>
  <c r="S336" i="15"/>
  <c r="T336" i="15"/>
  <c r="X336" i="15"/>
  <c r="Z336" i="15"/>
  <c r="AA336" i="15"/>
  <c r="AB336" i="15"/>
  <c r="AF336" i="15"/>
  <c r="AJ336" i="15"/>
  <c r="AL336" i="15"/>
  <c r="AM336" i="15"/>
  <c r="N337" i="15"/>
  <c r="O337" i="15"/>
  <c r="P337" i="15"/>
  <c r="T337" i="15"/>
  <c r="X337" i="15"/>
  <c r="AB337" i="15"/>
  <c r="AC337" i="15"/>
  <c r="AF337" i="15"/>
  <c r="AJ337" i="15"/>
  <c r="AL337" i="15"/>
  <c r="AM337" i="15"/>
  <c r="N338" i="15"/>
  <c r="O338" i="15"/>
  <c r="P338" i="15"/>
  <c r="Q338" i="15"/>
  <c r="T338" i="15"/>
  <c r="V338" i="15"/>
  <c r="W338" i="15"/>
  <c r="U338" i="15"/>
  <c r="X338" i="15"/>
  <c r="Z338" i="15"/>
  <c r="AA338" i="15"/>
  <c r="AB338" i="15"/>
  <c r="AC338" i="15"/>
  <c r="AF338" i="15"/>
  <c r="AH338" i="15"/>
  <c r="AI338" i="15"/>
  <c r="AJ338" i="15"/>
  <c r="N339" i="15"/>
  <c r="O339" i="15"/>
  <c r="P339" i="15"/>
  <c r="R339" i="15"/>
  <c r="S339" i="15"/>
  <c r="T339" i="15"/>
  <c r="U339" i="15"/>
  <c r="X339" i="15"/>
  <c r="AB339" i="15"/>
  <c r="AC339" i="15"/>
  <c r="AF339" i="15"/>
  <c r="AJ339" i="15"/>
  <c r="AL339" i="15"/>
  <c r="AM339" i="15"/>
  <c r="N347" i="15"/>
  <c r="O347" i="15"/>
  <c r="P347" i="15"/>
  <c r="Q347" i="15"/>
  <c r="T347" i="15"/>
  <c r="N348" i="15"/>
  <c r="O348" i="15"/>
  <c r="N349" i="15"/>
  <c r="O349" i="15"/>
  <c r="P349" i="15"/>
  <c r="R349" i="15"/>
  <c r="S349" i="15"/>
  <c r="N350" i="15"/>
  <c r="O350" i="15"/>
  <c r="N352" i="15"/>
  <c r="O352" i="15"/>
  <c r="P352" i="15"/>
  <c r="R352" i="15"/>
  <c r="S352" i="15"/>
  <c r="T352" i="15"/>
  <c r="N353" i="15"/>
  <c r="O353" i="15"/>
  <c r="P353" i="15"/>
  <c r="R353" i="15"/>
  <c r="P354" i="15"/>
  <c r="R354" i="15"/>
  <c r="S354" i="15"/>
  <c r="N356" i="15"/>
  <c r="O356" i="15"/>
  <c r="P356" i="15"/>
  <c r="R356" i="15"/>
  <c r="S356" i="15"/>
  <c r="N358" i="15"/>
  <c r="O358" i="15"/>
  <c r="N359" i="15"/>
  <c r="O359" i="15"/>
  <c r="P359" i="15"/>
  <c r="T359" i="15"/>
  <c r="V359" i="15"/>
  <c r="W359" i="15"/>
  <c r="X359" i="15"/>
  <c r="AB359" i="15"/>
  <c r="AF359" i="15"/>
  <c r="AG359" i="15"/>
  <c r="AJ359" i="15"/>
  <c r="AK359" i="15"/>
  <c r="N360" i="15"/>
  <c r="O360" i="15"/>
  <c r="P360" i="15"/>
  <c r="Q360" i="15"/>
  <c r="T360" i="15"/>
  <c r="X360" i="15"/>
  <c r="AB360" i="15"/>
  <c r="AD360" i="15"/>
  <c r="AE360" i="15"/>
  <c r="AF360" i="15"/>
  <c r="AH360" i="15"/>
  <c r="AI360" i="15"/>
  <c r="AJ360" i="15"/>
  <c r="N361" i="15"/>
  <c r="O361" i="15"/>
  <c r="P361" i="15"/>
  <c r="R361" i="15"/>
  <c r="S361" i="15"/>
  <c r="T361" i="15"/>
  <c r="X361" i="15"/>
  <c r="Y361" i="15"/>
  <c r="AB361" i="15"/>
  <c r="AF361" i="15"/>
  <c r="AG361" i="15"/>
  <c r="AJ361" i="15"/>
  <c r="AK361" i="15"/>
  <c r="N362" i="15"/>
  <c r="O362" i="15"/>
  <c r="P362" i="15"/>
  <c r="Q362" i="15"/>
  <c r="T362" i="15"/>
  <c r="U362" i="15"/>
  <c r="X362" i="15"/>
  <c r="Z362" i="15"/>
  <c r="AA362" i="15"/>
  <c r="AB362" i="15"/>
  <c r="AD362" i="15"/>
  <c r="AE362" i="15"/>
  <c r="AF362" i="15"/>
  <c r="AG362" i="15"/>
  <c r="AJ362" i="15"/>
  <c r="AL362" i="15"/>
  <c r="AM362" i="15"/>
  <c r="N363" i="15"/>
  <c r="O363" i="15"/>
  <c r="P363" i="15"/>
  <c r="R363" i="15"/>
  <c r="Q363" i="15"/>
  <c r="T363" i="15"/>
  <c r="X363" i="15"/>
  <c r="Z363" i="15"/>
  <c r="AA363" i="15"/>
  <c r="AB363" i="15"/>
  <c r="AD363" i="15"/>
  <c r="AE363" i="15"/>
  <c r="AF363" i="15"/>
  <c r="AH363" i="15"/>
  <c r="AI363" i="15"/>
  <c r="AJ363" i="15"/>
  <c r="AK363" i="15"/>
  <c r="N364" i="15"/>
  <c r="O364" i="15"/>
  <c r="P364" i="15"/>
  <c r="T364" i="15"/>
  <c r="V364" i="15"/>
  <c r="W364" i="15"/>
  <c r="X364" i="15"/>
  <c r="Y364" i="15"/>
  <c r="AB364" i="15"/>
  <c r="AD364" i="15"/>
  <c r="AE364" i="15"/>
  <c r="AF364" i="15"/>
  <c r="AJ364" i="15"/>
  <c r="AK364" i="15"/>
  <c r="N365" i="15"/>
  <c r="O365" i="15"/>
  <c r="P365" i="15"/>
  <c r="Q365" i="15"/>
  <c r="T365" i="15"/>
  <c r="V365" i="15"/>
  <c r="W365" i="15"/>
  <c r="X365" i="15"/>
  <c r="AB365" i="15"/>
  <c r="AD365" i="15"/>
  <c r="AE365" i="15"/>
  <c r="AF365" i="15"/>
  <c r="AH365" i="15"/>
  <c r="AI365" i="15"/>
  <c r="AJ365" i="15"/>
  <c r="AK365" i="15"/>
  <c r="N366" i="15"/>
  <c r="O366" i="15"/>
  <c r="P366" i="15"/>
  <c r="R366" i="15"/>
  <c r="S366" i="15"/>
  <c r="T366" i="15"/>
  <c r="V366" i="15"/>
  <c r="W366" i="15"/>
  <c r="X366" i="15"/>
  <c r="Y366" i="15"/>
  <c r="AB366" i="15"/>
  <c r="AD366" i="15"/>
  <c r="AE366" i="15"/>
  <c r="AF366" i="15"/>
  <c r="AH366" i="15"/>
  <c r="AI366" i="15"/>
  <c r="AJ366" i="15"/>
  <c r="N374" i="15"/>
  <c r="O374" i="15"/>
  <c r="N375" i="15"/>
  <c r="O375" i="15"/>
  <c r="N378" i="15"/>
  <c r="O378" i="15"/>
  <c r="N379" i="15"/>
  <c r="O379" i="15"/>
  <c r="N380" i="15"/>
  <c r="O380" i="15"/>
  <c r="N381" i="15"/>
  <c r="O381" i="15"/>
  <c r="T381" i="15"/>
  <c r="U381" i="15"/>
  <c r="X381" i="15"/>
  <c r="Y381" i="15"/>
  <c r="AF381" i="15"/>
  <c r="N382" i="15"/>
  <c r="O382" i="15"/>
  <c r="P382" i="15"/>
  <c r="Q382" i="15"/>
  <c r="R382" i="15"/>
  <c r="S382" i="15"/>
  <c r="T382" i="15"/>
  <c r="U382" i="15"/>
  <c r="X382" i="15"/>
  <c r="Y382" i="15"/>
  <c r="N383" i="15"/>
  <c r="O383" i="15"/>
  <c r="P383" i="15"/>
  <c r="R383" i="15"/>
  <c r="S383" i="15"/>
  <c r="T383" i="15"/>
  <c r="V383" i="15"/>
  <c r="W383" i="15"/>
  <c r="N384" i="15"/>
  <c r="O384" i="15"/>
  <c r="N385" i="15"/>
  <c r="O385" i="15"/>
  <c r="P385" i="15"/>
  <c r="Q385" i="15"/>
  <c r="T385" i="15"/>
  <c r="U385" i="15"/>
  <c r="X385" i="15"/>
  <c r="Y385" i="15"/>
  <c r="AB385" i="15"/>
  <c r="AC385" i="15"/>
  <c r="N386" i="15"/>
  <c r="O386" i="15"/>
  <c r="P386" i="15"/>
  <c r="T386" i="15"/>
  <c r="N387" i="15"/>
  <c r="O387" i="15"/>
  <c r="P387" i="15"/>
  <c r="Q387" i="15"/>
  <c r="T387" i="15"/>
  <c r="V387" i="15"/>
  <c r="W387" i="15"/>
  <c r="X387" i="15"/>
  <c r="Z387" i="15"/>
  <c r="AB387" i="15"/>
  <c r="AD387" i="15"/>
  <c r="AE387" i="15"/>
  <c r="AC387" i="15"/>
  <c r="AF387" i="15"/>
  <c r="AJ387" i="15"/>
  <c r="AK387" i="15"/>
  <c r="N388" i="15"/>
  <c r="O388" i="15"/>
  <c r="P388" i="15"/>
  <c r="T388" i="15"/>
  <c r="V388" i="15"/>
  <c r="W388" i="15"/>
  <c r="X388" i="15"/>
  <c r="Y388" i="15"/>
  <c r="AB388" i="15"/>
  <c r="AF388" i="15"/>
  <c r="AG388" i="15"/>
  <c r="AJ388" i="15"/>
  <c r="N389" i="15"/>
  <c r="O389" i="15"/>
  <c r="P389" i="15"/>
  <c r="R389" i="15"/>
  <c r="S389" i="15"/>
  <c r="T389" i="15"/>
  <c r="X389" i="15"/>
  <c r="Y389" i="15"/>
  <c r="Z389" i="15"/>
  <c r="AA389" i="15"/>
  <c r="AB389" i="15"/>
  <c r="AC389" i="15"/>
  <c r="AD389" i="15"/>
  <c r="AE389" i="15"/>
  <c r="AF389" i="15"/>
  <c r="AJ389" i="15"/>
  <c r="AL389" i="15"/>
  <c r="AM389" i="15"/>
  <c r="N390" i="15"/>
  <c r="O390" i="15"/>
  <c r="P390" i="15"/>
  <c r="T390" i="15"/>
  <c r="U390" i="15"/>
  <c r="X390" i="15"/>
  <c r="Z390" i="15"/>
  <c r="AA390" i="15"/>
  <c r="AB390" i="15"/>
  <c r="AC390" i="15"/>
  <c r="AF390" i="15"/>
  <c r="AJ390" i="15"/>
  <c r="N391" i="15"/>
  <c r="O391" i="15"/>
  <c r="P391" i="15"/>
  <c r="R391" i="15"/>
  <c r="S391" i="15"/>
  <c r="T391" i="15"/>
  <c r="X391" i="15"/>
  <c r="Y391" i="15"/>
  <c r="AB391" i="15"/>
  <c r="AD391" i="15"/>
  <c r="AE391" i="15"/>
  <c r="AF391" i="15"/>
  <c r="AG391" i="15"/>
  <c r="AJ391" i="15"/>
  <c r="AK391" i="15"/>
  <c r="N392" i="15"/>
  <c r="O392" i="15"/>
  <c r="P392" i="15"/>
  <c r="Q392" i="15"/>
  <c r="T392" i="15"/>
  <c r="U392" i="15"/>
  <c r="X392" i="15"/>
  <c r="Z392" i="15"/>
  <c r="AA392" i="15"/>
  <c r="AB392" i="15"/>
  <c r="AC392" i="15"/>
  <c r="AF392" i="15"/>
  <c r="AG392" i="15"/>
  <c r="AJ392" i="15"/>
  <c r="AK392" i="15"/>
  <c r="AL392" i="15"/>
  <c r="AM392" i="15"/>
  <c r="N393" i="15"/>
  <c r="O393" i="15"/>
  <c r="P393" i="15"/>
  <c r="R393" i="15"/>
  <c r="S393" i="15"/>
  <c r="T393" i="15"/>
  <c r="V393" i="15"/>
  <c r="W393" i="15"/>
  <c r="X393" i="15"/>
  <c r="Z393" i="15"/>
  <c r="AA393" i="15"/>
  <c r="AB393" i="15"/>
  <c r="AF393" i="15"/>
  <c r="AG393" i="15"/>
  <c r="AH393" i="15"/>
  <c r="AI393" i="15"/>
  <c r="AJ393" i="15"/>
  <c r="N401" i="15"/>
  <c r="O401" i="15"/>
  <c r="P401" i="15"/>
  <c r="T401" i="15"/>
  <c r="U401" i="15"/>
  <c r="N402" i="15"/>
  <c r="O402" i="15"/>
  <c r="P402" i="15"/>
  <c r="Q402" i="15"/>
  <c r="T402" i="15"/>
  <c r="U402" i="15"/>
  <c r="X402" i="15"/>
  <c r="Z402" i="15"/>
  <c r="AA402" i="15"/>
  <c r="Y402" i="15"/>
  <c r="AB402" i="15"/>
  <c r="AC402" i="15"/>
  <c r="AF402" i="15"/>
  <c r="AH402" i="15"/>
  <c r="AJ402" i="15"/>
  <c r="AL402" i="15"/>
  <c r="AM402" i="15"/>
  <c r="N403" i="15"/>
  <c r="O403" i="15"/>
  <c r="N404" i="15"/>
  <c r="O404" i="15"/>
  <c r="P404" i="15"/>
  <c r="T404" i="15"/>
  <c r="V404" i="15"/>
  <c r="W404" i="15"/>
  <c r="X404" i="15"/>
  <c r="Y404" i="15"/>
  <c r="AB404" i="15"/>
  <c r="AD404" i="15"/>
  <c r="AE404" i="15"/>
  <c r="AF404" i="15"/>
  <c r="AJ404" i="15"/>
  <c r="N405" i="15"/>
  <c r="O405" i="15"/>
  <c r="P405" i="15"/>
  <c r="R405" i="15"/>
  <c r="S405" i="15"/>
  <c r="T405" i="15"/>
  <c r="U405" i="15"/>
  <c r="X405" i="15"/>
  <c r="Y405" i="15"/>
  <c r="AB405" i="15"/>
  <c r="AD405" i="15"/>
  <c r="AE405" i="15"/>
  <c r="AF405" i="15"/>
  <c r="AH405" i="15"/>
  <c r="AI405" i="15"/>
  <c r="AJ405" i="15"/>
  <c r="AL405" i="15"/>
  <c r="AM405" i="15"/>
  <c r="N406" i="15"/>
  <c r="O406" i="15"/>
  <c r="P406" i="15"/>
  <c r="T406" i="15"/>
  <c r="U406" i="15"/>
  <c r="X406" i="15"/>
  <c r="Z406" i="15"/>
  <c r="AA406" i="15"/>
  <c r="AB406" i="15"/>
  <c r="AC406" i="15"/>
  <c r="AF406" i="15"/>
  <c r="AJ406" i="15"/>
  <c r="N407" i="15"/>
  <c r="O407" i="15"/>
  <c r="P407" i="15"/>
  <c r="R407" i="15"/>
  <c r="S407" i="15"/>
  <c r="T407" i="15"/>
  <c r="V407" i="15"/>
  <c r="W407" i="15"/>
  <c r="X407" i="15"/>
  <c r="Z407" i="15"/>
  <c r="AA407" i="15"/>
  <c r="AB407" i="15"/>
  <c r="AD407" i="15"/>
  <c r="AE407" i="15"/>
  <c r="AF407" i="15"/>
  <c r="AJ407" i="15"/>
  <c r="N408" i="15"/>
  <c r="O408" i="15"/>
  <c r="P408" i="15"/>
  <c r="Q408" i="15"/>
  <c r="T408" i="15"/>
  <c r="X408" i="15"/>
  <c r="Y408" i="15"/>
  <c r="AB408" i="15"/>
  <c r="AC408" i="15"/>
  <c r="AF408" i="15"/>
  <c r="AJ408" i="15"/>
  <c r="N409" i="15"/>
  <c r="O409" i="15"/>
  <c r="P409" i="15"/>
  <c r="Q409" i="15"/>
  <c r="T409" i="15"/>
  <c r="V409" i="15"/>
  <c r="W409" i="15"/>
  <c r="X409" i="15"/>
  <c r="AB409" i="15"/>
  <c r="AF409" i="15"/>
  <c r="AH409" i="15"/>
  <c r="AI409" i="15"/>
  <c r="AJ409" i="15"/>
  <c r="AL409" i="15"/>
  <c r="AM409" i="15"/>
  <c r="N410" i="15"/>
  <c r="O410" i="15"/>
  <c r="P410" i="15"/>
  <c r="R410" i="15"/>
  <c r="S410" i="15"/>
  <c r="Q410" i="15"/>
  <c r="T410" i="15"/>
  <c r="U410" i="15"/>
  <c r="V410" i="15"/>
  <c r="X410" i="15"/>
  <c r="Y410" i="15"/>
  <c r="AB410" i="15"/>
  <c r="AD410" i="15"/>
  <c r="AE410" i="15"/>
  <c r="AF410" i="15"/>
  <c r="AG410" i="15"/>
  <c r="AJ410" i="15"/>
  <c r="F41" i="14"/>
  <c r="B2" i="4"/>
  <c r="B87" i="4"/>
  <c r="L14" i="4"/>
  <c r="F60" i="15"/>
  <c r="L83" i="4"/>
  <c r="G83" i="4"/>
  <c r="G92" i="4"/>
  <c r="L149" i="4"/>
  <c r="L157" i="4"/>
  <c r="L150" i="4"/>
  <c r="L151" i="4"/>
  <c r="L152" i="4"/>
  <c r="L153" i="4"/>
  <c r="L154" i="4"/>
  <c r="L155" i="4"/>
  <c r="L156" i="4"/>
  <c r="B2" i="3"/>
  <c r="B90" i="3"/>
  <c r="G95" i="3"/>
  <c r="AK402" i="15"/>
  <c r="P375" i="15"/>
  <c r="R375" i="15"/>
  <c r="S375" i="15"/>
  <c r="N318" i="15"/>
  <c r="O318" i="15"/>
  <c r="P374" i="15"/>
  <c r="R374" i="15"/>
  <c r="S374" i="15"/>
  <c r="N314" i="15"/>
  <c r="O314" i="15"/>
  <c r="AD305" i="15"/>
  <c r="AE305" i="15"/>
  <c r="U112" i="19"/>
  <c r="AC99" i="19"/>
  <c r="AO95" i="19"/>
  <c r="AP95" i="19"/>
  <c r="T95" i="19"/>
  <c r="V95" i="19"/>
  <c r="U95" i="19"/>
  <c r="AN82" i="19"/>
  <c r="AO82" i="19"/>
  <c r="AP82" i="19"/>
  <c r="AR80" i="19"/>
  <c r="AS80" i="19"/>
  <c r="AT80" i="19"/>
  <c r="AS101" i="19"/>
  <c r="AT101" i="19"/>
  <c r="AO97" i="19"/>
  <c r="AP97" i="19"/>
  <c r="U97" i="19"/>
  <c r="AB91" i="19"/>
  <c r="AN96" i="19"/>
  <c r="AR95" i="19"/>
  <c r="AS95" i="19"/>
  <c r="AT95" i="19"/>
  <c r="AJ95" i="19"/>
  <c r="AB82" i="19"/>
  <c r="Y81" i="19"/>
  <c r="AR82" i="19"/>
  <c r="AS82" i="19"/>
  <c r="AT82" i="19"/>
  <c r="Y80" i="19"/>
  <c r="AO74" i="19"/>
  <c r="AP74" i="19"/>
  <c r="U74" i="19"/>
  <c r="AC79" i="19"/>
  <c r="AO75" i="19"/>
  <c r="AP75" i="19"/>
  <c r="U75" i="19"/>
  <c r="AS73" i="19"/>
  <c r="AT73" i="19"/>
  <c r="Y73" i="19"/>
  <c r="X71" i="19"/>
  <c r="Z71" i="19"/>
  <c r="AN62" i="19"/>
  <c r="AP62" i="19"/>
  <c r="AR61" i="19"/>
  <c r="T62" i="19"/>
  <c r="V62" i="19"/>
  <c r="U62" i="19"/>
  <c r="AN60" i="19"/>
  <c r="AO60" i="19"/>
  <c r="AP60" i="19"/>
  <c r="T60" i="19"/>
  <c r="V60" i="19"/>
  <c r="AO61" i="19"/>
  <c r="AP61" i="19"/>
  <c r="AN61" i="19"/>
  <c r="T61" i="19"/>
  <c r="V61" i="19"/>
  <c r="AK60" i="19"/>
  <c r="AL60" i="19"/>
  <c r="AC55" i="19"/>
  <c r="AB55" i="19"/>
  <c r="AD55" i="19"/>
  <c r="AR54" i="19"/>
  <c r="X54" i="19"/>
  <c r="Z54" i="19"/>
  <c r="AS52" i="19"/>
  <c r="AT52" i="19"/>
  <c r="AR52" i="19"/>
  <c r="AJ57" i="19"/>
  <c r="AR56" i="19"/>
  <c r="AS56" i="19"/>
  <c r="AT56" i="19"/>
  <c r="X52" i="19"/>
  <c r="AR40" i="19"/>
  <c r="AR38" i="19"/>
  <c r="AS38" i="19"/>
  <c r="AT38" i="19"/>
  <c r="AR37" i="19"/>
  <c r="AS37" i="19"/>
  <c r="AT37" i="19"/>
  <c r="Y37" i="19"/>
  <c r="AB35" i="19"/>
  <c r="AC35" i="19"/>
  <c r="AD35" i="19"/>
  <c r="AJ34" i="19"/>
  <c r="T40" i="19"/>
  <c r="V40" i="19"/>
  <c r="U40" i="19"/>
  <c r="AN32" i="19"/>
  <c r="X55" i="19"/>
  <c r="Z55" i="19"/>
  <c r="AO54" i="19"/>
  <c r="AP54" i="19"/>
  <c r="AN39" i="19"/>
  <c r="AB36" i="19"/>
  <c r="AJ33" i="19"/>
  <c r="AO38" i="19"/>
  <c r="AP38" i="19"/>
  <c r="AS36" i="19"/>
  <c r="AT36" i="19"/>
  <c r="Y36" i="19"/>
  <c r="AC36" i="19"/>
  <c r="P318" i="15"/>
  <c r="R318" i="15"/>
  <c r="S318" i="15"/>
  <c r="T318" i="15"/>
  <c r="U318" i="15"/>
  <c r="T374" i="15"/>
  <c r="U374" i="15"/>
  <c r="P403" i="15"/>
  <c r="N377" i="15"/>
  <c r="O377" i="15"/>
  <c r="N376" i="15"/>
  <c r="O376" i="15"/>
  <c r="V362" i="15"/>
  <c r="W362" i="15"/>
  <c r="N315" i="15"/>
  <c r="O315" i="15"/>
  <c r="N317" i="15"/>
  <c r="O317" i="15"/>
  <c r="N316" i="15"/>
  <c r="O316" i="15"/>
  <c r="V24" i="15"/>
  <c r="W24" i="15"/>
  <c r="Q24" i="15"/>
  <c r="P317" i="15"/>
  <c r="Q317" i="15"/>
  <c r="R317" i="15"/>
  <c r="S317" i="15"/>
  <c r="P316" i="15"/>
  <c r="R316" i="15"/>
  <c r="S316" i="15"/>
  <c r="Q316" i="15"/>
  <c r="X318" i="15"/>
  <c r="Y318" i="15"/>
  <c r="T317" i="15"/>
  <c r="V317" i="15"/>
  <c r="W317" i="15"/>
  <c r="X316" i="15"/>
  <c r="Y316" i="15"/>
  <c r="T316" i="15"/>
  <c r="V316" i="15"/>
  <c r="W316" i="15"/>
  <c r="AB318" i="15"/>
  <c r="AC318" i="15"/>
  <c r="AF318" i="15"/>
  <c r="AG318" i="15"/>
  <c r="AJ318" i="15"/>
  <c r="X317" i="15"/>
  <c r="Y317" i="15"/>
  <c r="P379" i="15"/>
  <c r="Q379" i="15"/>
  <c r="T378" i="15"/>
  <c r="P378" i="15"/>
  <c r="R378" i="15"/>
  <c r="S378" i="15"/>
  <c r="AK362" i="15"/>
  <c r="AB317" i="15"/>
  <c r="AC317" i="15"/>
  <c r="AB316" i="15"/>
  <c r="AD316" i="15"/>
  <c r="AE316" i="15"/>
  <c r="X378" i="15"/>
  <c r="Y378" i="15"/>
  <c r="AJ316" i="15"/>
  <c r="AF316" i="15"/>
  <c r="AH316" i="15"/>
  <c r="AI316" i="15"/>
  <c r="AF317" i="15"/>
  <c r="AH317" i="15"/>
  <c r="AI317" i="15"/>
  <c r="AJ317" i="15"/>
  <c r="AK317" i="15"/>
  <c r="T380" i="15"/>
  <c r="U380" i="15"/>
  <c r="T403" i="15"/>
  <c r="V403" i="15"/>
  <c r="W403" i="15"/>
  <c r="X374" i="15"/>
  <c r="Y374" i="15"/>
  <c r="T377" i="15"/>
  <c r="U377" i="15"/>
  <c r="X403" i="15"/>
  <c r="Y403" i="15"/>
  <c r="X377" i="15"/>
  <c r="Y377" i="15"/>
  <c r="AB403" i="15"/>
  <c r="AB377" i="15"/>
  <c r="AC377" i="15"/>
  <c r="AF403" i="15"/>
  <c r="AG403" i="15"/>
  <c r="AJ403" i="15"/>
  <c r="AK403" i="15"/>
  <c r="AF377" i="15"/>
  <c r="AN124" i="19"/>
  <c r="X90" i="19"/>
  <c r="Z90" i="19"/>
  <c r="AG305" i="15"/>
  <c r="V402" i="15"/>
  <c r="W402" i="15"/>
  <c r="AG24" i="15"/>
  <c r="Y362" i="15"/>
  <c r="AG179" i="15"/>
  <c r="AC179" i="15"/>
  <c r="AH335" i="15"/>
  <c r="AI335" i="15"/>
  <c r="AL179" i="15"/>
  <c r="AM179" i="15"/>
  <c r="Z179" i="15"/>
  <c r="AA179" i="15"/>
  <c r="V325" i="15"/>
  <c r="W325" i="15"/>
  <c r="R305" i="15"/>
  <c r="S305" i="15"/>
  <c r="U179" i="15"/>
  <c r="AC327" i="15"/>
  <c r="Q339" i="15"/>
  <c r="AL320" i="15"/>
  <c r="AM320" i="15"/>
  <c r="Z335" i="15"/>
  <c r="AA335" i="15"/>
  <c r="AK328" i="15"/>
  <c r="Y407" i="15"/>
  <c r="Q243" i="15"/>
  <c r="Q219" i="15"/>
  <c r="Q229" i="15"/>
  <c r="AK389" i="15"/>
  <c r="Q366" i="15"/>
  <c r="AI402" i="15"/>
  <c r="AC362" i="15"/>
  <c r="R402" i="15"/>
  <c r="S402" i="15"/>
  <c r="AH362" i="15"/>
  <c r="AI362" i="15"/>
  <c r="R362" i="15"/>
  <c r="S362" i="15"/>
  <c r="Z305" i="15"/>
  <c r="AA305" i="15"/>
  <c r="D234" i="15"/>
  <c r="D591" i="15"/>
  <c r="AK243" i="15"/>
  <c r="AL24" i="15"/>
  <c r="AM24" i="15"/>
  <c r="AO103" i="19"/>
  <c r="AP103" i="19"/>
  <c r="AS102" i="19"/>
  <c r="AT102" i="19"/>
  <c r="AS100" i="19"/>
  <c r="AT100" i="19"/>
  <c r="AR99" i="19"/>
  <c r="AK99" i="19"/>
  <c r="AL99" i="19"/>
  <c r="AS97" i="19"/>
  <c r="AT97" i="19"/>
  <c r="AB97" i="19"/>
  <c r="AD97" i="19"/>
  <c r="AJ94" i="19"/>
  <c r="AN81" i="19"/>
  <c r="AJ80" i="19"/>
  <c r="T80" i="19"/>
  <c r="X79" i="19"/>
  <c r="Z79" i="19"/>
  <c r="AB73" i="19"/>
  <c r="AD73" i="19"/>
  <c r="AJ52" i="19"/>
  <c r="AR41" i="19"/>
  <c r="Z41" i="19"/>
  <c r="Y41" i="19"/>
  <c r="AS58" i="19"/>
  <c r="AT58" i="19"/>
  <c r="AR58" i="19"/>
  <c r="AK55" i="19"/>
  <c r="AL55" i="19"/>
  <c r="AR53" i="19"/>
  <c r="AS53" i="19"/>
  <c r="AT53" i="19"/>
  <c r="AB122" i="19"/>
  <c r="U102" i="19"/>
  <c r="Y50" i="19"/>
  <c r="T42" i="19"/>
  <c r="V42" i="19"/>
  <c r="U42" i="19"/>
  <c r="Y101" i="19"/>
  <c r="AC101" i="19"/>
  <c r="AO102" i="19"/>
  <c r="AP102" i="19"/>
  <c r="AO100" i="19"/>
  <c r="AP100" i="19"/>
  <c r="X98" i="19"/>
  <c r="Z98" i="19"/>
  <c r="X97" i="19"/>
  <c r="Z97" i="19"/>
  <c r="AB94" i="19"/>
  <c r="AS93" i="19"/>
  <c r="AT93" i="19"/>
  <c r="AR76" i="19"/>
  <c r="AR60" i="19"/>
  <c r="AS60" i="19"/>
  <c r="AT60" i="19"/>
  <c r="AO55" i="19"/>
  <c r="AP55" i="19"/>
  <c r="AJ54" i="19"/>
  <c r="AC40" i="19"/>
  <c r="AJ37" i="19"/>
  <c r="AN35" i="19"/>
  <c r="U41" i="19"/>
  <c r="AJ35" i="19"/>
  <c r="AS33" i="19"/>
  <c r="AT33" i="19"/>
  <c r="AB42" i="19"/>
  <c r="AD42" i="19"/>
  <c r="AO41" i="19"/>
  <c r="AP41" i="19"/>
  <c r="AR39" i="19"/>
  <c r="U126" i="15"/>
  <c r="Q170" i="15"/>
  <c r="Y121" i="15"/>
  <c r="D212" i="15"/>
  <c r="D569" i="15"/>
  <c r="Z229" i="15"/>
  <c r="AA229" i="15"/>
  <c r="Z361" i="15"/>
  <c r="AA361" i="15"/>
  <c r="AL326" i="15"/>
  <c r="AM326" i="15"/>
  <c r="Q257" i="15"/>
  <c r="AD334" i="15"/>
  <c r="AE334" i="15"/>
  <c r="AH410" i="15"/>
  <c r="AI410" i="15"/>
  <c r="Z404" i="15"/>
  <c r="AA404" i="15"/>
  <c r="AD392" i="15"/>
  <c r="AE392" i="15"/>
  <c r="D225" i="15"/>
  <c r="D582" i="15"/>
  <c r="U209" i="15"/>
  <c r="Q209" i="15"/>
  <c r="V339" i="15"/>
  <c r="W339" i="15"/>
  <c r="AC325" i="15"/>
  <c r="R365" i="15"/>
  <c r="S365" i="15"/>
  <c r="AL335" i="15"/>
  <c r="AM335" i="15"/>
  <c r="AK339" i="15"/>
  <c r="R338" i="15"/>
  <c r="S338" i="15"/>
  <c r="R326" i="15"/>
  <c r="S326" i="15"/>
  <c r="U404" i="15"/>
  <c r="U393" i="15"/>
  <c r="S363" i="15"/>
  <c r="AK333" i="15"/>
  <c r="U335" i="15"/>
  <c r="AH326" i="15"/>
  <c r="AI326" i="15"/>
  <c r="AH320" i="15"/>
  <c r="AI320" i="15"/>
  <c r="Z405" i="15"/>
  <c r="AA405" i="15"/>
  <c r="AC319" i="15"/>
  <c r="V329" i="15"/>
  <c r="W329" i="15"/>
  <c r="Z330" i="15"/>
  <c r="AA330" i="15"/>
  <c r="Y324" i="15"/>
  <c r="AK327" i="15"/>
  <c r="AG363" i="15"/>
  <c r="AH361" i="15"/>
  <c r="AI361" i="15"/>
  <c r="AK325" i="15"/>
  <c r="Q324" i="15"/>
  <c r="Y338" i="15"/>
  <c r="AH328" i="15"/>
  <c r="AI328" i="15"/>
  <c r="Y326" i="15"/>
  <c r="AD331" i="15"/>
  <c r="AE331" i="15"/>
  <c r="Y334" i="15"/>
  <c r="R409" i="15"/>
  <c r="S409" i="15"/>
  <c r="U364" i="15"/>
  <c r="U321" i="15"/>
  <c r="AK337" i="15"/>
  <c r="Q361" i="15"/>
  <c r="W410" i="15"/>
  <c r="W333" i="15"/>
  <c r="AH403" i="15"/>
  <c r="AI403" i="15"/>
  <c r="AH332" i="15"/>
  <c r="AI332" i="15"/>
  <c r="Q320" i="15"/>
  <c r="R332" i="15"/>
  <c r="S332" i="15"/>
  <c r="AK329" i="15"/>
  <c r="AC323" i="15"/>
  <c r="AH324" i="15"/>
  <c r="AI324" i="15"/>
  <c r="AC391" i="15"/>
  <c r="R335" i="15"/>
  <c r="S335" i="15"/>
  <c r="AD330" i="15"/>
  <c r="AE330" i="15"/>
  <c r="V382" i="15"/>
  <c r="W382" i="15"/>
  <c r="Z382" i="15"/>
  <c r="AD338" i="15"/>
  <c r="AE338" i="15"/>
  <c r="Z333" i="15"/>
  <c r="AA333" i="15"/>
  <c r="AH333" i="15"/>
  <c r="AI333" i="15"/>
  <c r="Q393" i="15"/>
  <c r="AD332" i="15"/>
  <c r="AE332" i="15"/>
  <c r="R406" i="15"/>
  <c r="S406" i="15"/>
  <c r="Q406" i="15"/>
  <c r="AC405" i="15"/>
  <c r="AL390" i="15"/>
  <c r="AM390" i="15"/>
  <c r="AK390" i="15"/>
  <c r="U388" i="15"/>
  <c r="Y360" i="15"/>
  <c r="Z360" i="15"/>
  <c r="AA360" i="15"/>
  <c r="AL338" i="15"/>
  <c r="AM338" i="15"/>
  <c r="AK338" i="15"/>
  <c r="AC336" i="15"/>
  <c r="AD336" i="15"/>
  <c r="AE336" i="15"/>
  <c r="Y331" i="15"/>
  <c r="AA331" i="15"/>
  <c r="AG325" i="15"/>
  <c r="AH325" i="15"/>
  <c r="AI325" i="15"/>
  <c r="AH321" i="15"/>
  <c r="AI321" i="15"/>
  <c r="R248" i="15"/>
  <c r="S248" i="15"/>
  <c r="Q248" i="15"/>
  <c r="U248" i="15"/>
  <c r="V248" i="15"/>
  <c r="W248" i="15"/>
  <c r="AK248" i="15"/>
  <c r="AG406" i="15"/>
  <c r="AH406" i="15"/>
  <c r="AI406" i="15"/>
  <c r="AK388" i="15"/>
  <c r="AL388" i="15"/>
  <c r="AM388" i="15"/>
  <c r="AH387" i="15"/>
  <c r="AI387" i="15"/>
  <c r="AG387" i="15"/>
  <c r="Q383" i="15"/>
  <c r="AL359" i="15"/>
  <c r="AM359" i="15"/>
  <c r="U359" i="15"/>
  <c r="Z339" i="15"/>
  <c r="AA339" i="15"/>
  <c r="Y339" i="15"/>
  <c r="R337" i="15"/>
  <c r="S337" i="15"/>
  <c r="Q337" i="15"/>
  <c r="AK334" i="15"/>
  <c r="AL334" i="15"/>
  <c r="AM334" i="15"/>
  <c r="V334" i="15"/>
  <c r="W334" i="15"/>
  <c r="U334" i="15"/>
  <c r="R333" i="15"/>
  <c r="S333" i="15"/>
  <c r="Q333" i="15"/>
  <c r="AC328" i="15"/>
  <c r="AD328" i="15"/>
  <c r="AE328" i="15"/>
  <c r="Z327" i="15"/>
  <c r="AA327" i="15"/>
  <c r="Y327" i="15"/>
  <c r="Q325" i="15"/>
  <c r="R325" i="15"/>
  <c r="S325" i="15"/>
  <c r="AD324" i="15"/>
  <c r="AE324" i="15"/>
  <c r="AC324" i="15"/>
  <c r="Q321" i="15"/>
  <c r="R321" i="15"/>
  <c r="S321" i="15"/>
  <c r="U83" i="15"/>
  <c r="AC248" i="15"/>
  <c r="Z408" i="15"/>
  <c r="AA408" i="15"/>
  <c r="Z391" i="15"/>
  <c r="AA391" i="15"/>
  <c r="AC403" i="15"/>
  <c r="AD403" i="15"/>
  <c r="AE403" i="15"/>
  <c r="AH408" i="15"/>
  <c r="AI408" i="15"/>
  <c r="AG408" i="15"/>
  <c r="V405" i="15"/>
  <c r="W405" i="15"/>
  <c r="AH391" i="15"/>
  <c r="AI391" i="15"/>
  <c r="AG381" i="15"/>
  <c r="AG360" i="15"/>
  <c r="AC359" i="15"/>
  <c r="AD359" i="15"/>
  <c r="AE359" i="15"/>
  <c r="AG339" i="15"/>
  <c r="AH339" i="15"/>
  <c r="AI339" i="15"/>
  <c r="Z337" i="15"/>
  <c r="AA337" i="15"/>
  <c r="Y337" i="15"/>
  <c r="AK332" i="15"/>
  <c r="AL332" i="15"/>
  <c r="AM332" i="15"/>
  <c r="U332" i="15"/>
  <c r="W332" i="15"/>
  <c r="Y329" i="15"/>
  <c r="Z329" i="15"/>
  <c r="AA329" i="15"/>
  <c r="AC326" i="15"/>
  <c r="AD326" i="15"/>
  <c r="AE326" i="15"/>
  <c r="AI323" i="15"/>
  <c r="AG323" i="15"/>
  <c r="R323" i="15"/>
  <c r="S323" i="15"/>
  <c r="Q323" i="15"/>
  <c r="AC322" i="15"/>
  <c r="AD322" i="15"/>
  <c r="AE322" i="15"/>
  <c r="U121" i="15"/>
  <c r="V257" i="15"/>
  <c r="W257" i="15"/>
  <c r="U225" i="15"/>
  <c r="AC225" i="15"/>
  <c r="AG229" i="15"/>
  <c r="AH331" i="15"/>
  <c r="AI331" i="15"/>
  <c r="V328" i="15"/>
  <c r="W328" i="15"/>
  <c r="Q331" i="15"/>
  <c r="AG366" i="15"/>
  <c r="AK336" i="15"/>
  <c r="Y321" i="15"/>
  <c r="U316" i="15"/>
  <c r="V319" i="15"/>
  <c r="W319" i="15"/>
  <c r="Y336" i="15"/>
  <c r="AG338" i="15"/>
  <c r="AD318" i="15"/>
  <c r="AE318" i="15"/>
  <c r="AG365" i="15"/>
  <c r="Z320" i="15"/>
  <c r="AA320" i="15"/>
  <c r="R330" i="15"/>
  <c r="S330" i="15"/>
  <c r="Y332" i="15"/>
  <c r="R179" i="15"/>
  <c r="S179" i="15"/>
  <c r="AL319" i="15"/>
  <c r="AM319" i="15"/>
  <c r="U366" i="15"/>
  <c r="AG330" i="15"/>
  <c r="AG322" i="15"/>
  <c r="U323" i="15"/>
  <c r="AC329" i="15"/>
  <c r="AG405" i="15"/>
  <c r="Q336" i="15"/>
  <c r="U365" i="15"/>
  <c r="Q328" i="15"/>
  <c r="R328" i="15"/>
  <c r="S328" i="15"/>
  <c r="U88" i="15"/>
  <c r="U80" i="15"/>
  <c r="AL365" i="15"/>
  <c r="AM365" i="15"/>
  <c r="AH364" i="15"/>
  <c r="AI364" i="15"/>
  <c r="AG364" i="15"/>
  <c r="R364" i="15"/>
  <c r="S364" i="15"/>
  <c r="Q364" i="15"/>
  <c r="AD361" i="15"/>
  <c r="AE361" i="15"/>
  <c r="AC361" i="15"/>
  <c r="AC360" i="15"/>
  <c r="Y359" i="15"/>
  <c r="Z359" i="15"/>
  <c r="AA359" i="15"/>
  <c r="AD339" i="15"/>
  <c r="AE339" i="15"/>
  <c r="U337" i="15"/>
  <c r="V337" i="15"/>
  <c r="W337" i="15"/>
  <c r="AH336" i="15"/>
  <c r="AI336" i="15"/>
  <c r="AG336" i="15"/>
  <c r="AC335" i="15"/>
  <c r="AD335" i="15"/>
  <c r="AE335" i="15"/>
  <c r="Q334" i="15"/>
  <c r="S334" i="15"/>
  <c r="AC333" i="15"/>
  <c r="AD333" i="15"/>
  <c r="AE333" i="15"/>
  <c r="AL331" i="15"/>
  <c r="AM331" i="15"/>
  <c r="AK331" i="15"/>
  <c r="AM330" i="15"/>
  <c r="AK330" i="15"/>
  <c r="Q329" i="15"/>
  <c r="R329" i="15"/>
  <c r="S329" i="15"/>
  <c r="Z323" i="15"/>
  <c r="AA323" i="15"/>
  <c r="Y323" i="15"/>
  <c r="U322" i="15"/>
  <c r="W322" i="15"/>
  <c r="AD320" i="15"/>
  <c r="AE320" i="15"/>
  <c r="AC320" i="15"/>
  <c r="Z319" i="15"/>
  <c r="AA319" i="15"/>
  <c r="Y319" i="15"/>
  <c r="AL408" i="15"/>
  <c r="AM408" i="15"/>
  <c r="AK408" i="15"/>
  <c r="AG407" i="15"/>
  <c r="AH407" i="15"/>
  <c r="AI407" i="15"/>
  <c r="AD406" i="15"/>
  <c r="AE406" i="15"/>
  <c r="AK404" i="15"/>
  <c r="AL404" i="15"/>
  <c r="AM404" i="15"/>
  <c r="U391" i="15"/>
  <c r="V391" i="15"/>
  <c r="W391" i="15"/>
  <c r="AH390" i="15"/>
  <c r="AI390" i="15"/>
  <c r="AG390" i="15"/>
  <c r="Q390" i="15"/>
  <c r="R390" i="15"/>
  <c r="S390" i="15"/>
  <c r="D221" i="15"/>
  <c r="D578" i="15"/>
  <c r="U119" i="15"/>
  <c r="AG317" i="15"/>
  <c r="AH327" i="15"/>
  <c r="AI327" i="15"/>
  <c r="R327" i="15"/>
  <c r="S327" i="15"/>
  <c r="AK324" i="15"/>
  <c r="AL324" i="15"/>
  <c r="AM324" i="15"/>
  <c r="Y126" i="15"/>
  <c r="U317" i="15"/>
  <c r="U407" i="15"/>
  <c r="Q405" i="15"/>
  <c r="AH392" i="15"/>
  <c r="AI392" i="15"/>
  <c r="Y406" i="15"/>
  <c r="V390" i="15"/>
  <c r="W390" i="15"/>
  <c r="R392" i="15"/>
  <c r="S392" i="15"/>
  <c r="AC404" i="15"/>
  <c r="Y390" i="15"/>
  <c r="AK405" i="15"/>
  <c r="Z318" i="15"/>
  <c r="AA318" i="15"/>
  <c r="AC363" i="15"/>
  <c r="AH359" i="15"/>
  <c r="AI359" i="15"/>
  <c r="V406" i="15"/>
  <c r="W406" i="15"/>
  <c r="AC407" i="15"/>
  <c r="U403" i="15"/>
  <c r="R408" i="15"/>
  <c r="S408" i="15"/>
  <c r="AH388" i="15"/>
  <c r="AI388" i="15"/>
  <c r="Q407" i="15"/>
  <c r="AK409" i="15"/>
  <c r="V318" i="15"/>
  <c r="W318" i="15"/>
  <c r="AC410" i="15"/>
  <c r="U409" i="15"/>
  <c r="AA387" i="15"/>
  <c r="Y363" i="15"/>
  <c r="AD248" i="15"/>
  <c r="AE248" i="15"/>
  <c r="AD229" i="15"/>
  <c r="AE229" i="15"/>
  <c r="W209" i="15"/>
  <c r="AB209" i="15"/>
  <c r="AC209" i="15"/>
  <c r="AD209" i="15"/>
  <c r="AE209" i="15"/>
  <c r="H534" i="15"/>
  <c r="T175" i="15"/>
  <c r="X175" i="15"/>
  <c r="Z175" i="15"/>
  <c r="AA175" i="15"/>
  <c r="G535" i="15"/>
  <c r="G531" i="15"/>
  <c r="I512" i="15"/>
  <c r="T153" i="15"/>
  <c r="U153" i="15"/>
  <c r="X88" i="15"/>
  <c r="Y88" i="15"/>
  <c r="J447" i="15"/>
  <c r="X82" i="15"/>
  <c r="X84" i="15"/>
  <c r="X81" i="15"/>
  <c r="Y81" i="15"/>
  <c r="X89" i="15"/>
  <c r="G97" i="4"/>
  <c r="G94" i="4"/>
  <c r="G120" i="3"/>
  <c r="G101" i="3"/>
  <c r="R84" i="15"/>
  <c r="S84" i="15"/>
  <c r="G144" i="3"/>
  <c r="G98" i="3"/>
  <c r="G102" i="3"/>
  <c r="N176" i="15"/>
  <c r="O176" i="15"/>
  <c r="E79" i="15"/>
  <c r="E205" i="15"/>
  <c r="G100" i="4"/>
  <c r="G96" i="4"/>
  <c r="G128" i="4"/>
  <c r="G124" i="4"/>
  <c r="G139" i="4"/>
  <c r="G135" i="4"/>
  <c r="G131" i="4"/>
  <c r="G127" i="4"/>
  <c r="G123" i="4"/>
  <c r="G138" i="4"/>
  <c r="G134" i="4"/>
  <c r="F167" i="15"/>
  <c r="N167" i="15"/>
  <c r="O167" i="15"/>
  <c r="F163" i="15"/>
  <c r="N163" i="15"/>
  <c r="O163" i="15"/>
  <c r="N139" i="15"/>
  <c r="O139" i="15"/>
  <c r="F143" i="15"/>
  <c r="N143" i="15"/>
  <c r="O143" i="15"/>
  <c r="F145" i="15"/>
  <c r="N145" i="15"/>
  <c r="O145" i="15"/>
  <c r="F141" i="15"/>
  <c r="N141" i="15"/>
  <c r="O141" i="15"/>
  <c r="F78" i="15"/>
  <c r="N78" i="15"/>
  <c r="O78" i="15"/>
  <c r="G142" i="3"/>
  <c r="G135" i="3"/>
  <c r="G105" i="3"/>
  <c r="G119" i="3"/>
  <c r="G110" i="3"/>
  <c r="G129" i="3"/>
  <c r="G122" i="3"/>
  <c r="G133" i="3"/>
  <c r="G136" i="3"/>
  <c r="G112" i="3"/>
  <c r="G132" i="3"/>
  <c r="G140" i="3"/>
  <c r="G125" i="3"/>
  <c r="E119" i="15"/>
  <c r="E245" i="15"/>
  <c r="G108" i="3"/>
  <c r="E89" i="15"/>
  <c r="E215" i="15"/>
  <c r="G104" i="3"/>
  <c r="G100" i="3"/>
  <c r="E81" i="15"/>
  <c r="E207" i="15"/>
  <c r="G96" i="3"/>
  <c r="E126" i="15"/>
  <c r="E252" i="15"/>
  <c r="G115" i="3"/>
  <c r="E156" i="15"/>
  <c r="E282" i="15"/>
  <c r="G134" i="3"/>
  <c r="E152" i="15"/>
  <c r="E278" i="15"/>
  <c r="G130" i="3"/>
  <c r="E148" i="15"/>
  <c r="E274" i="15"/>
  <c r="G126" i="3"/>
  <c r="E174" i="15"/>
  <c r="E300" i="15"/>
  <c r="G141" i="3"/>
  <c r="E170" i="15"/>
  <c r="E296" i="15"/>
  <c r="G137" i="3"/>
  <c r="E95" i="15"/>
  <c r="E221" i="15"/>
  <c r="D238" i="15"/>
  <c r="D595" i="15"/>
  <c r="E78" i="15"/>
  <c r="E204" i="15"/>
  <c r="Z225" i="15"/>
  <c r="AA225" i="15"/>
  <c r="AH229" i="15"/>
  <c r="AI229" i="15"/>
  <c r="L566" i="15"/>
  <c r="AF209" i="15"/>
  <c r="AG209" i="15"/>
  <c r="AH209" i="15"/>
  <c r="AI209" i="15"/>
  <c r="K566" i="15"/>
  <c r="I534" i="15"/>
  <c r="AB175" i="15"/>
  <c r="AC175" i="15"/>
  <c r="AB81" i="15"/>
  <c r="J440" i="15"/>
  <c r="AB82" i="15"/>
  <c r="AC82" i="15"/>
  <c r="AB84" i="15"/>
  <c r="J443" i="15"/>
  <c r="Y89" i="15"/>
  <c r="J448" i="15"/>
  <c r="Y82" i="15"/>
  <c r="AB88" i="15"/>
  <c r="N152" i="15"/>
  <c r="O152" i="15"/>
  <c r="AL229" i="15"/>
  <c r="AM229" i="15"/>
  <c r="AL248" i="15"/>
  <c r="AM248" i="15"/>
  <c r="AD225" i="15"/>
  <c r="AE225" i="15"/>
  <c r="J534" i="15"/>
  <c r="AF81" i="15"/>
  <c r="K440" i="15"/>
  <c r="AC81" i="15"/>
  <c r="AH243" i="15"/>
  <c r="AI243" i="15"/>
  <c r="AJ81" i="15"/>
  <c r="AK81" i="15"/>
  <c r="L440" i="15"/>
  <c r="AL243" i="15"/>
  <c r="AM243" i="15"/>
  <c r="AL225" i="15"/>
  <c r="AM225" i="15"/>
  <c r="L443" i="15"/>
  <c r="AJ84" i="15"/>
  <c r="AK84" i="15"/>
  <c r="K534" i="15"/>
  <c r="AF175" i="15"/>
  <c r="AG175" i="15"/>
  <c r="AF84" i="15"/>
  <c r="AG84" i="15"/>
  <c r="K443" i="15"/>
  <c r="AF82" i="15"/>
  <c r="AG82" i="15"/>
  <c r="K441" i="15"/>
  <c r="AF89" i="15"/>
  <c r="AG89" i="15"/>
  <c r="K448" i="15"/>
  <c r="J441" i="15"/>
  <c r="AB89" i="15"/>
  <c r="AD89" i="15"/>
  <c r="AE89" i="15"/>
  <c r="AC89" i="15"/>
  <c r="X153" i="15"/>
  <c r="Y153" i="15"/>
  <c r="P168" i="15"/>
  <c r="Q168" i="15"/>
  <c r="G527" i="15"/>
  <c r="P133" i="15"/>
  <c r="Q133" i="15"/>
  <c r="P128" i="15"/>
  <c r="P125" i="15"/>
  <c r="Q125" i="15"/>
  <c r="P116" i="15"/>
  <c r="Q116" i="15"/>
  <c r="P132" i="15"/>
  <c r="P129" i="15"/>
  <c r="T87" i="15"/>
  <c r="U87" i="15"/>
  <c r="G513" i="15"/>
  <c r="P154" i="15"/>
  <c r="Q154" i="15"/>
  <c r="P150" i="15"/>
  <c r="Q150" i="15"/>
  <c r="G509" i="15"/>
  <c r="P174" i="15"/>
  <c r="R174" i="15"/>
  <c r="S174" i="15"/>
  <c r="G533" i="15"/>
  <c r="G530" i="15"/>
  <c r="P171" i="15"/>
  <c r="Q171" i="15"/>
  <c r="T116" i="15"/>
  <c r="P122" i="15"/>
  <c r="G481" i="15"/>
  <c r="G477" i="15"/>
  <c r="X83" i="15"/>
  <c r="Z83" i="15"/>
  <c r="AA83" i="15"/>
  <c r="Y83" i="15"/>
  <c r="G515" i="15"/>
  <c r="P156" i="15"/>
  <c r="Q156" i="15"/>
  <c r="P177" i="15"/>
  <c r="Q177" i="15"/>
  <c r="G536" i="15"/>
  <c r="G532" i="15"/>
  <c r="P173" i="15"/>
  <c r="Q173" i="15"/>
  <c r="J493" i="15"/>
  <c r="AB134" i="15"/>
  <c r="AC134" i="15"/>
  <c r="H439" i="15"/>
  <c r="G440" i="15"/>
  <c r="G491" i="15"/>
  <c r="H475" i="15"/>
  <c r="T127" i="15"/>
  <c r="P123" i="15"/>
  <c r="Q123" i="15"/>
  <c r="I478" i="15"/>
  <c r="X119" i="15"/>
  <c r="Y119" i="15"/>
  <c r="P86" i="15"/>
  <c r="Q86" i="15"/>
  <c r="G511" i="15"/>
  <c r="P152" i="15"/>
  <c r="Q152" i="15"/>
  <c r="P176" i="15"/>
  <c r="Q176" i="15"/>
  <c r="AB126" i="15"/>
  <c r="AC126" i="15"/>
  <c r="J485" i="15"/>
  <c r="G439" i="15"/>
  <c r="H448" i="15"/>
  <c r="I442" i="15"/>
  <c r="G475" i="15"/>
  <c r="G484" i="15"/>
  <c r="H478" i="15"/>
  <c r="N86" i="15"/>
  <c r="O86" i="15"/>
  <c r="G489" i="15"/>
  <c r="AB121" i="15"/>
  <c r="AC121" i="15"/>
  <c r="P117" i="15"/>
  <c r="Q117" i="15"/>
  <c r="P130" i="15"/>
  <c r="P118" i="15"/>
  <c r="P85" i="15"/>
  <c r="Q85" i="15"/>
  <c r="G507" i="15"/>
  <c r="P148" i="15"/>
  <c r="Q148" i="15"/>
  <c r="P169" i="15"/>
  <c r="Q169" i="15"/>
  <c r="G528" i="15"/>
  <c r="P149" i="15"/>
  <c r="Q149" i="15"/>
  <c r="G510" i="15"/>
  <c r="G529" i="15"/>
  <c r="G534" i="15"/>
  <c r="P175" i="15"/>
  <c r="Q175" i="15"/>
  <c r="P120" i="15"/>
  <c r="Q120" i="15"/>
  <c r="P172" i="15"/>
  <c r="Q172" i="15"/>
  <c r="P153" i="15"/>
  <c r="G508" i="15"/>
  <c r="P147" i="15"/>
  <c r="Q147" i="15"/>
  <c r="G447" i="15"/>
  <c r="G443" i="15"/>
  <c r="H441" i="15"/>
  <c r="G493" i="15"/>
  <c r="G485" i="15"/>
  <c r="H493" i="15"/>
  <c r="H485" i="15"/>
  <c r="I493" i="15"/>
  <c r="I485" i="15"/>
  <c r="T134" i="15"/>
  <c r="U134" i="15"/>
  <c r="T84" i="15"/>
  <c r="U84" i="15"/>
  <c r="X134" i="15"/>
  <c r="Y134" i="15"/>
  <c r="G514" i="15"/>
  <c r="P155" i="15"/>
  <c r="P151" i="15"/>
  <c r="Q151" i="15"/>
  <c r="G526" i="15"/>
  <c r="P167" i="15"/>
  <c r="R167" i="15"/>
  <c r="S167" i="15"/>
  <c r="P164" i="15"/>
  <c r="Q164" i="15"/>
  <c r="G523" i="15"/>
  <c r="P162" i="15"/>
  <c r="P161" i="15"/>
  <c r="Q161" i="15"/>
  <c r="G520" i="15"/>
  <c r="G522" i="15"/>
  <c r="P163" i="15"/>
  <c r="G518" i="15"/>
  <c r="P159" i="15"/>
  <c r="Q159" i="15"/>
  <c r="G524" i="15"/>
  <c r="P165" i="15"/>
  <c r="F160" i="15"/>
  <c r="N160" i="15"/>
  <c r="O160" i="15"/>
  <c r="L82" i="4"/>
  <c r="G498" i="15"/>
  <c r="P139" i="15"/>
  <c r="Q139" i="15"/>
  <c r="G503" i="15"/>
  <c r="P144" i="15"/>
  <c r="Q144" i="15"/>
  <c r="G501" i="15"/>
  <c r="P141" i="15"/>
  <c r="G500" i="15"/>
  <c r="P146" i="15"/>
  <c r="Q146" i="15"/>
  <c r="G505" i="15"/>
  <c r="G504" i="15"/>
  <c r="P145" i="15"/>
  <c r="G502" i="15"/>
  <c r="P143" i="15"/>
  <c r="Q143" i="15"/>
  <c r="F140" i="15"/>
  <c r="N140" i="15"/>
  <c r="O140" i="15"/>
  <c r="P142" i="15"/>
  <c r="Q142" i="15"/>
  <c r="H459" i="15"/>
  <c r="P100" i="15"/>
  <c r="Q100" i="15"/>
  <c r="G459" i="15"/>
  <c r="G469" i="15"/>
  <c r="P110" i="15"/>
  <c r="R110" i="15"/>
  <c r="S110" i="15"/>
  <c r="P112" i="15"/>
  <c r="Q112" i="15"/>
  <c r="G471" i="15"/>
  <c r="P109" i="15"/>
  <c r="G468" i="15"/>
  <c r="G464" i="15"/>
  <c r="N105" i="15"/>
  <c r="O105" i="15"/>
  <c r="G462" i="15"/>
  <c r="P104" i="15"/>
  <c r="P95" i="15"/>
  <c r="Q95" i="15"/>
  <c r="P106" i="15"/>
  <c r="G465" i="15"/>
  <c r="P108" i="15"/>
  <c r="T103" i="15"/>
  <c r="U103" i="15"/>
  <c r="P99" i="15"/>
  <c r="Q99" i="15"/>
  <c r="P98" i="15"/>
  <c r="Q98" i="15"/>
  <c r="G457" i="15"/>
  <c r="P111" i="15"/>
  <c r="Q111" i="15"/>
  <c r="P101" i="15"/>
  <c r="Q101" i="15"/>
  <c r="P115" i="15"/>
  <c r="Q115" i="15"/>
  <c r="P94" i="15"/>
  <c r="Q94" i="15"/>
  <c r="G453" i="15"/>
  <c r="T100" i="15"/>
  <c r="U100" i="15"/>
  <c r="G470" i="15"/>
  <c r="G454" i="15"/>
  <c r="H462" i="15"/>
  <c r="P114" i="15"/>
  <c r="Q114" i="15"/>
  <c r="G473" i="15"/>
  <c r="P105" i="15"/>
  <c r="Q105" i="15"/>
  <c r="N107" i="15"/>
  <c r="O107" i="15"/>
  <c r="G461" i="15"/>
  <c r="N103" i="15"/>
  <c r="O103" i="15"/>
  <c r="P103" i="15"/>
  <c r="P72" i="15"/>
  <c r="Q72" i="15"/>
  <c r="G425" i="15"/>
  <c r="P78" i="15"/>
  <c r="G437" i="15"/>
  <c r="P75" i="15"/>
  <c r="Q75" i="15"/>
  <c r="G434" i="15"/>
  <c r="P79" i="15"/>
  <c r="G438" i="15"/>
  <c r="P73" i="15"/>
  <c r="G432" i="15"/>
  <c r="P67" i="15"/>
  <c r="Q67" i="15"/>
  <c r="G426" i="15"/>
  <c r="G429" i="15"/>
  <c r="P70" i="15"/>
  <c r="P77" i="15"/>
  <c r="Q77" i="15"/>
  <c r="G436" i="15"/>
  <c r="P71" i="15"/>
  <c r="G430" i="15"/>
  <c r="G424" i="15"/>
  <c r="P65" i="15"/>
  <c r="Q65" i="15"/>
  <c r="P76" i="15"/>
  <c r="Q76" i="15"/>
  <c r="G435" i="15"/>
  <c r="G427" i="15"/>
  <c r="P68" i="15"/>
  <c r="P74" i="15"/>
  <c r="G433" i="15"/>
  <c r="G428" i="15"/>
  <c r="P69" i="15"/>
  <c r="Q69" i="15"/>
  <c r="G431" i="15"/>
  <c r="G617" i="15"/>
  <c r="F617" i="15"/>
  <c r="N260" i="15"/>
  <c r="O260" i="15"/>
  <c r="G608" i="15"/>
  <c r="N251" i="15"/>
  <c r="O251" i="15"/>
  <c r="F608" i="15"/>
  <c r="F616" i="15"/>
  <c r="N259" i="15"/>
  <c r="O259" i="15"/>
  <c r="N128" i="15"/>
  <c r="O128" i="15"/>
  <c r="F607" i="15"/>
  <c r="N273" i="15"/>
  <c r="O273" i="15"/>
  <c r="N118" i="15"/>
  <c r="O118" i="15"/>
  <c r="R242" i="15"/>
  <c r="S242" i="15"/>
  <c r="G603" i="15"/>
  <c r="Z257" i="15"/>
  <c r="AA257" i="15"/>
  <c r="AC243" i="15"/>
  <c r="T246" i="15"/>
  <c r="U246" i="15"/>
  <c r="X246" i="15"/>
  <c r="Y246" i="15"/>
  <c r="Z243" i="15"/>
  <c r="AA243" i="15"/>
  <c r="N296" i="15"/>
  <c r="O296" i="15"/>
  <c r="N88" i="15"/>
  <c r="O88" i="15"/>
  <c r="Z209" i="15"/>
  <c r="AA209" i="15"/>
  <c r="F603" i="15"/>
  <c r="H603" i="15"/>
  <c r="I603" i="15"/>
  <c r="F639" i="15"/>
  <c r="N282" i="15"/>
  <c r="O282" i="15"/>
  <c r="F657" i="15"/>
  <c r="N300" i="15"/>
  <c r="O300" i="15"/>
  <c r="AJ209" i="15"/>
  <c r="F568" i="15"/>
  <c r="N211" i="15"/>
  <c r="O211" i="15"/>
  <c r="F631" i="15"/>
  <c r="N274" i="15"/>
  <c r="O274" i="15"/>
  <c r="V89" i="15"/>
  <c r="W89" i="15"/>
  <c r="F630" i="15"/>
  <c r="V84" i="15"/>
  <c r="W84" i="15"/>
  <c r="V81" i="15"/>
  <c r="W81" i="15"/>
  <c r="F653" i="15"/>
  <c r="F635" i="15"/>
  <c r="N278" i="15"/>
  <c r="O278" i="15"/>
  <c r="N245" i="15"/>
  <c r="O245" i="15"/>
  <c r="F602" i="15"/>
  <c r="V87" i="15"/>
  <c r="W87" i="15"/>
  <c r="O175" i="15"/>
  <c r="V88" i="15"/>
  <c r="W88" i="15"/>
  <c r="N207" i="15"/>
  <c r="O207" i="15"/>
  <c r="F564" i="15"/>
  <c r="V83" i="15"/>
  <c r="W83" i="15"/>
  <c r="N254" i="15"/>
  <c r="O254" i="15"/>
  <c r="F611" i="15"/>
  <c r="E258" i="15"/>
  <c r="N253" i="15"/>
  <c r="O253" i="15"/>
  <c r="F610" i="15"/>
  <c r="F570" i="15"/>
  <c r="N213" i="15"/>
  <c r="O213" i="15"/>
  <c r="P256" i="15"/>
  <c r="Q256" i="15"/>
  <c r="N210" i="15"/>
  <c r="O210" i="15"/>
  <c r="N294" i="15"/>
  <c r="O294" i="15"/>
  <c r="F651" i="15"/>
  <c r="P260" i="15"/>
  <c r="AB246" i="15"/>
  <c r="AC246" i="15"/>
  <c r="AD246" i="15"/>
  <c r="AE246" i="15"/>
  <c r="N214" i="15"/>
  <c r="O214" i="15"/>
  <c r="N208" i="15"/>
  <c r="O208" i="15"/>
  <c r="F638" i="15"/>
  <c r="N281" i="15"/>
  <c r="O281" i="15"/>
  <c r="F636" i="15"/>
  <c r="N279" i="15"/>
  <c r="O279" i="15"/>
  <c r="F659" i="15"/>
  <c r="N302" i="15"/>
  <c r="O302" i="15"/>
  <c r="N299" i="15"/>
  <c r="O299" i="15"/>
  <c r="F656" i="15"/>
  <c r="F652" i="15"/>
  <c r="N295" i="15"/>
  <c r="O295" i="15"/>
  <c r="N246" i="15"/>
  <c r="O246" i="15"/>
  <c r="P259" i="15"/>
  <c r="F632" i="15"/>
  <c r="N275" i="15"/>
  <c r="O275" i="15"/>
  <c r="F655" i="15"/>
  <c r="N298" i="15"/>
  <c r="O298" i="15"/>
  <c r="N256" i="15"/>
  <c r="O256" i="15"/>
  <c r="P246" i="15"/>
  <c r="Q246" i="15"/>
  <c r="R246" i="15"/>
  <c r="S246" i="15"/>
  <c r="P251" i="15"/>
  <c r="P247" i="15"/>
  <c r="R247" i="15"/>
  <c r="S247" i="15"/>
  <c r="T242" i="15"/>
  <c r="V242" i="15"/>
  <c r="W242" i="15"/>
  <c r="F571" i="15"/>
  <c r="F637" i="15"/>
  <c r="N280" i="15"/>
  <c r="O280" i="15"/>
  <c r="F634" i="15"/>
  <c r="N277" i="15"/>
  <c r="O277" i="15"/>
  <c r="F658" i="15"/>
  <c r="N301" i="15"/>
  <c r="O301" i="15"/>
  <c r="N297" i="15"/>
  <c r="O297" i="15"/>
  <c r="F654" i="15"/>
  <c r="N120" i="15"/>
  <c r="O120" i="15"/>
  <c r="N250" i="15"/>
  <c r="O250" i="15"/>
  <c r="N247" i="15"/>
  <c r="O247" i="15"/>
  <c r="N242" i="15"/>
  <c r="O242" i="15"/>
  <c r="T243" i="15"/>
  <c r="X248" i="15"/>
  <c r="AF248" i="15"/>
  <c r="AH248" i="15"/>
  <c r="AI248" i="15"/>
  <c r="AB257" i="15"/>
  <c r="AC257" i="15"/>
  <c r="N212" i="15"/>
  <c r="O212" i="15"/>
  <c r="F660" i="15"/>
  <c r="N303" i="15"/>
  <c r="O303" i="15"/>
  <c r="F633" i="15"/>
  <c r="N276" i="15"/>
  <c r="O276" i="15"/>
  <c r="L85" i="3"/>
  <c r="F641" i="15"/>
  <c r="N284" i="15"/>
  <c r="O284" i="15"/>
  <c r="N292" i="15"/>
  <c r="O292" i="15"/>
  <c r="F649" i="15"/>
  <c r="F644" i="15"/>
  <c r="N287" i="15"/>
  <c r="O287" i="15"/>
  <c r="F650" i="15"/>
  <c r="N293" i="15"/>
  <c r="O293" i="15"/>
  <c r="F648" i="15"/>
  <c r="N291" i="15"/>
  <c r="O291" i="15"/>
  <c r="N288" i="15"/>
  <c r="O288" i="15"/>
  <c r="F645" i="15"/>
  <c r="R233" i="15"/>
  <c r="S233" i="15"/>
  <c r="Q233" i="15"/>
  <c r="F596" i="15"/>
  <c r="F588" i="15"/>
  <c r="N97" i="15"/>
  <c r="O97" i="15"/>
  <c r="F595" i="15"/>
  <c r="G590" i="15"/>
  <c r="N230" i="15"/>
  <c r="O230" i="15"/>
  <c r="F581" i="15"/>
  <c r="N233" i="15"/>
  <c r="O233" i="15"/>
  <c r="N227" i="15"/>
  <c r="O227" i="15"/>
  <c r="F584" i="15"/>
  <c r="F550" i="15"/>
  <c r="F557" i="15"/>
  <c r="N201" i="15"/>
  <c r="O201" i="15"/>
  <c r="F558" i="15"/>
  <c r="N204" i="15"/>
  <c r="O204" i="15"/>
  <c r="F561" i="15"/>
  <c r="N195" i="15"/>
  <c r="O195" i="15"/>
  <c r="F552" i="15"/>
  <c r="N205" i="15"/>
  <c r="O205" i="15"/>
  <c r="F562" i="15"/>
  <c r="F547" i="15"/>
  <c r="N203" i="15"/>
  <c r="O203" i="15"/>
  <c r="N196" i="15"/>
  <c r="O196" i="15"/>
  <c r="N192" i="15"/>
  <c r="O192" i="15"/>
  <c r="N199" i="15"/>
  <c r="O199" i="15"/>
  <c r="F545" i="15"/>
  <c r="N202" i="15"/>
  <c r="O202" i="15"/>
  <c r="N198" i="15"/>
  <c r="O198" i="15"/>
  <c r="N191" i="15"/>
  <c r="O191" i="15"/>
  <c r="F560" i="15"/>
  <c r="N194" i="15"/>
  <c r="O194" i="15"/>
  <c r="N197" i="15"/>
  <c r="O197" i="15"/>
  <c r="N193" i="15"/>
  <c r="O193" i="15"/>
  <c r="F574" i="15"/>
  <c r="N235" i="15"/>
  <c r="O235" i="15"/>
  <c r="F592" i="15"/>
  <c r="F587" i="15"/>
  <c r="N238" i="15"/>
  <c r="O238" i="15"/>
  <c r="N226" i="15"/>
  <c r="O226" i="15"/>
  <c r="F583" i="15"/>
  <c r="F578" i="15"/>
  <c r="N221" i="15"/>
  <c r="O221" i="15"/>
  <c r="N234" i="15"/>
  <c r="O234" i="15"/>
  <c r="F591" i="15"/>
  <c r="N223" i="15"/>
  <c r="O223" i="15"/>
  <c r="F580" i="15"/>
  <c r="F575" i="15"/>
  <c r="N236" i="15"/>
  <c r="O236" i="15"/>
  <c r="N224" i="15"/>
  <c r="O224" i="15"/>
  <c r="T229" i="15"/>
  <c r="V229" i="15"/>
  <c r="W229" i="15"/>
  <c r="F628" i="15"/>
  <c r="F626" i="15"/>
  <c r="F621" i="15"/>
  <c r="N269" i="15"/>
  <c r="O269" i="15"/>
  <c r="E141" i="15"/>
  <c r="E267" i="15"/>
  <c r="N265" i="15"/>
  <c r="O265" i="15"/>
  <c r="H514" i="15"/>
  <c r="T155" i="15"/>
  <c r="U155" i="15"/>
  <c r="X120" i="15"/>
  <c r="Z120" i="15"/>
  <c r="Y120" i="15"/>
  <c r="I479" i="15"/>
  <c r="H510" i="15"/>
  <c r="T151" i="15"/>
  <c r="AF121" i="15"/>
  <c r="AG121" i="15"/>
  <c r="K480" i="15"/>
  <c r="T152" i="15"/>
  <c r="V152" i="15"/>
  <c r="W152" i="15"/>
  <c r="H511" i="15"/>
  <c r="H445" i="15"/>
  <c r="T86" i="15"/>
  <c r="V86" i="15"/>
  <c r="K493" i="15"/>
  <c r="AF134" i="15"/>
  <c r="AG134" i="15"/>
  <c r="T173" i="15"/>
  <c r="H532" i="15"/>
  <c r="T156" i="15"/>
  <c r="U156" i="15"/>
  <c r="H515" i="15"/>
  <c r="V116" i="15"/>
  <c r="W116" i="15"/>
  <c r="U116" i="15"/>
  <c r="T154" i="15"/>
  <c r="U154" i="15"/>
  <c r="H513" i="15"/>
  <c r="T125" i="15"/>
  <c r="H484" i="15"/>
  <c r="T133" i="15"/>
  <c r="U133" i="15"/>
  <c r="H492" i="15"/>
  <c r="AJ175" i="15"/>
  <c r="AK175" i="15"/>
  <c r="L534" i="15"/>
  <c r="T135" i="15"/>
  <c r="U135" i="15"/>
  <c r="H494" i="15"/>
  <c r="T123" i="15"/>
  <c r="U123" i="15"/>
  <c r="H482" i="15"/>
  <c r="I439" i="15"/>
  <c r="X80" i="15"/>
  <c r="Y80" i="15"/>
  <c r="H536" i="15"/>
  <c r="T177" i="15"/>
  <c r="U177" i="15"/>
  <c r="H477" i="15"/>
  <c r="T118" i="15"/>
  <c r="U118" i="15"/>
  <c r="H481" i="15"/>
  <c r="T122" i="15"/>
  <c r="V122" i="15"/>
  <c r="W122" i="15"/>
  <c r="X116" i="15"/>
  <c r="Z116" i="15"/>
  <c r="AA116" i="15"/>
  <c r="I475" i="15"/>
  <c r="T150" i="15"/>
  <c r="V150" i="15"/>
  <c r="W150" i="15"/>
  <c r="H509" i="15"/>
  <c r="P124" i="15"/>
  <c r="G483" i="15"/>
  <c r="T132" i="15"/>
  <c r="U132" i="15"/>
  <c r="H491" i="15"/>
  <c r="T128" i="15"/>
  <c r="H487" i="15"/>
  <c r="H529" i="15"/>
  <c r="T170" i="15"/>
  <c r="U170" i="15"/>
  <c r="H508" i="15"/>
  <c r="T149" i="15"/>
  <c r="T85" i="15"/>
  <c r="V85" i="15"/>
  <c r="H444" i="15"/>
  <c r="T171" i="15"/>
  <c r="V171" i="15"/>
  <c r="W171" i="15"/>
  <c r="H530" i="15"/>
  <c r="H533" i="15"/>
  <c r="T174" i="15"/>
  <c r="X87" i="15"/>
  <c r="Y87" i="15"/>
  <c r="I446" i="15"/>
  <c r="L448" i="15"/>
  <c r="AJ89" i="15"/>
  <c r="AK89" i="15"/>
  <c r="AJ82" i="15"/>
  <c r="AK82" i="15"/>
  <c r="L441" i="15"/>
  <c r="T169" i="15"/>
  <c r="V169" i="15"/>
  <c r="U169" i="15"/>
  <c r="H528" i="15"/>
  <c r="H506" i="15"/>
  <c r="T147" i="15"/>
  <c r="U147" i="15"/>
  <c r="T172" i="15"/>
  <c r="V172" i="15"/>
  <c r="W172" i="15"/>
  <c r="H531" i="15"/>
  <c r="T148" i="15"/>
  <c r="U148" i="15"/>
  <c r="H507" i="15"/>
  <c r="T117" i="15"/>
  <c r="U117" i="15"/>
  <c r="V117" i="15"/>
  <c r="W117" i="15"/>
  <c r="H476" i="15"/>
  <c r="H489" i="15"/>
  <c r="T130" i="15"/>
  <c r="K485" i="15"/>
  <c r="AF126" i="15"/>
  <c r="AG126" i="15"/>
  <c r="H535" i="15"/>
  <c r="T176" i="15"/>
  <c r="U176" i="15"/>
  <c r="AB119" i="15"/>
  <c r="AC119" i="15"/>
  <c r="J478" i="15"/>
  <c r="X127" i="15"/>
  <c r="Y127" i="15"/>
  <c r="Z127" i="15"/>
  <c r="I486" i="15"/>
  <c r="J442" i="15"/>
  <c r="AB83" i="15"/>
  <c r="AC83" i="15"/>
  <c r="G490" i="15"/>
  <c r="P131" i="15"/>
  <c r="R131" i="15"/>
  <c r="S131" i="15"/>
  <c r="H488" i="15"/>
  <c r="T129" i="15"/>
  <c r="U129" i="15"/>
  <c r="V129" i="15"/>
  <c r="W129" i="15"/>
  <c r="H527" i="15"/>
  <c r="T168" i="15"/>
  <c r="U168" i="15"/>
  <c r="AF88" i="15"/>
  <c r="AG88" i="15"/>
  <c r="K447" i="15"/>
  <c r="J512" i="15"/>
  <c r="AB153" i="15"/>
  <c r="AC153" i="15"/>
  <c r="G519" i="15"/>
  <c r="P160" i="15"/>
  <c r="T163" i="15"/>
  <c r="U163" i="15"/>
  <c r="H522" i="15"/>
  <c r="H518" i="15"/>
  <c r="T159" i="15"/>
  <c r="V159" i="15"/>
  <c r="U159" i="15"/>
  <c r="G525" i="15"/>
  <c r="P166" i="15"/>
  <c r="R166" i="15"/>
  <c r="S166" i="15"/>
  <c r="T167" i="15"/>
  <c r="U167" i="15"/>
  <c r="H526" i="15"/>
  <c r="H521" i="15"/>
  <c r="T162" i="15"/>
  <c r="U162" i="15"/>
  <c r="H523" i="15"/>
  <c r="T164" i="15"/>
  <c r="U164" i="15"/>
  <c r="H524" i="15"/>
  <c r="T165" i="15"/>
  <c r="U165" i="15"/>
  <c r="T161" i="15"/>
  <c r="H520" i="15"/>
  <c r="G517" i="15"/>
  <c r="G537" i="15"/>
  <c r="G178" i="15"/>
  <c r="P178" i="15"/>
  <c r="P158" i="15"/>
  <c r="H505" i="15"/>
  <c r="T146" i="15"/>
  <c r="U146" i="15"/>
  <c r="H503" i="15"/>
  <c r="T144" i="15"/>
  <c r="U144" i="15"/>
  <c r="H502" i="15"/>
  <c r="T143" i="15"/>
  <c r="U143" i="15"/>
  <c r="T145" i="15"/>
  <c r="V145" i="15"/>
  <c r="H504" i="15"/>
  <c r="T141" i="15"/>
  <c r="V141" i="15"/>
  <c r="U141" i="15"/>
  <c r="H500" i="15"/>
  <c r="T142" i="15"/>
  <c r="U142" i="15"/>
  <c r="H501" i="15"/>
  <c r="H498" i="15"/>
  <c r="T139" i="15"/>
  <c r="U139" i="15"/>
  <c r="P140" i="15"/>
  <c r="G499" i="15"/>
  <c r="T112" i="15"/>
  <c r="H471" i="15"/>
  <c r="G455" i="15"/>
  <c r="P96" i="15"/>
  <c r="Q110" i="15"/>
  <c r="H461" i="15"/>
  <c r="T102" i="15"/>
  <c r="U102" i="15"/>
  <c r="T97" i="15"/>
  <c r="U97" i="15"/>
  <c r="H456" i="15"/>
  <c r="T114" i="15"/>
  <c r="H473" i="15"/>
  <c r="X100" i="15"/>
  <c r="Y100" i="15"/>
  <c r="I459" i="15"/>
  <c r="T115" i="15"/>
  <c r="U115" i="15"/>
  <c r="V115" i="15"/>
  <c r="W115" i="15"/>
  <c r="H474" i="15"/>
  <c r="T111" i="15"/>
  <c r="U111" i="15"/>
  <c r="H470" i="15"/>
  <c r="X103" i="15"/>
  <c r="Y103" i="15"/>
  <c r="I462" i="15"/>
  <c r="H469" i="15"/>
  <c r="T110" i="15"/>
  <c r="P107" i="15"/>
  <c r="Q107" i="15"/>
  <c r="G466" i="15"/>
  <c r="H453" i="15"/>
  <c r="T94" i="15"/>
  <c r="U94" i="15"/>
  <c r="T104" i="15"/>
  <c r="V104" i="15"/>
  <c r="W104" i="15"/>
  <c r="H463" i="15"/>
  <c r="P113" i="15"/>
  <c r="Q113" i="15"/>
  <c r="G472" i="15"/>
  <c r="T105" i="15"/>
  <c r="U105" i="15"/>
  <c r="H464" i="15"/>
  <c r="T101" i="15"/>
  <c r="V101" i="15"/>
  <c r="H460" i="15"/>
  <c r="T109" i="15"/>
  <c r="H468" i="15"/>
  <c r="H457" i="15"/>
  <c r="T98" i="15"/>
  <c r="V98" i="15"/>
  <c r="W98" i="15"/>
  <c r="U98" i="15"/>
  <c r="T99" i="15"/>
  <c r="H458" i="15"/>
  <c r="T108" i="15"/>
  <c r="H467" i="15"/>
  <c r="H465" i="15"/>
  <c r="T106" i="15"/>
  <c r="U106" i="15"/>
  <c r="T95" i="15"/>
  <c r="H454" i="15"/>
  <c r="H425" i="15"/>
  <c r="P66" i="15"/>
  <c r="R66" i="15"/>
  <c r="S66" i="15"/>
  <c r="T73" i="15"/>
  <c r="V73" i="15"/>
  <c r="W73" i="15"/>
  <c r="H432" i="15"/>
  <c r="H438" i="15"/>
  <c r="T79" i="15"/>
  <c r="T65" i="15"/>
  <c r="V65" i="15"/>
  <c r="W65" i="15"/>
  <c r="H424" i="15"/>
  <c r="H429" i="15"/>
  <c r="T70" i="15"/>
  <c r="U70" i="15"/>
  <c r="T67" i="15"/>
  <c r="V67" i="15"/>
  <c r="U67" i="15"/>
  <c r="H426" i="15"/>
  <c r="T76" i="15"/>
  <c r="H435" i="15"/>
  <c r="T69" i="15"/>
  <c r="H428" i="15"/>
  <c r="H430" i="15"/>
  <c r="T71" i="15"/>
  <c r="U71" i="15"/>
  <c r="T75" i="15"/>
  <c r="U75" i="15"/>
  <c r="H434" i="15"/>
  <c r="H431" i="15"/>
  <c r="T72" i="15"/>
  <c r="U72" i="15"/>
  <c r="H433" i="15"/>
  <c r="T74" i="15"/>
  <c r="T68" i="15"/>
  <c r="V68" i="15"/>
  <c r="W68" i="15"/>
  <c r="H427" i="15"/>
  <c r="T77" i="15"/>
  <c r="H436" i="15"/>
  <c r="T66" i="15"/>
  <c r="U66" i="15"/>
  <c r="T78" i="15"/>
  <c r="V78" i="15"/>
  <c r="W78" i="15"/>
  <c r="H437" i="15"/>
  <c r="F601" i="15"/>
  <c r="N244" i="15"/>
  <c r="O244" i="15"/>
  <c r="P250" i="15"/>
  <c r="R250" i="15"/>
  <c r="S250" i="15"/>
  <c r="G607" i="15"/>
  <c r="V246" i="15"/>
  <c r="W246" i="15"/>
  <c r="F612" i="15"/>
  <c r="G616" i="15"/>
  <c r="N255" i="15"/>
  <c r="O255" i="15"/>
  <c r="N261" i="15"/>
  <c r="O261" i="15"/>
  <c r="F618" i="15"/>
  <c r="G633" i="15"/>
  <c r="P276" i="15"/>
  <c r="Q276" i="15"/>
  <c r="AG248" i="15"/>
  <c r="G656" i="15"/>
  <c r="P299" i="15"/>
  <c r="P253" i="15"/>
  <c r="R253" i="15"/>
  <c r="S253" i="15"/>
  <c r="G610" i="15"/>
  <c r="N258" i="15"/>
  <c r="O258" i="15"/>
  <c r="F615" i="15"/>
  <c r="P245" i="15"/>
  <c r="G602" i="15"/>
  <c r="N206" i="15"/>
  <c r="O206" i="15"/>
  <c r="F563" i="15"/>
  <c r="AK209" i="15"/>
  <c r="AL209" i="15"/>
  <c r="AM209" i="15"/>
  <c r="R259" i="15"/>
  <c r="S259" i="15"/>
  <c r="Q259" i="15"/>
  <c r="G636" i="15"/>
  <c r="P279" i="15"/>
  <c r="W169" i="15"/>
  <c r="V177" i="15"/>
  <c r="V82" i="15"/>
  <c r="W82" i="15"/>
  <c r="N252" i="15"/>
  <c r="O252" i="15"/>
  <c r="F609" i="15"/>
  <c r="P300" i="15"/>
  <c r="R300" i="15"/>
  <c r="S300" i="15"/>
  <c r="G657" i="15"/>
  <c r="G569" i="15"/>
  <c r="P212" i="15"/>
  <c r="Q212" i="15"/>
  <c r="Q247" i="15"/>
  <c r="G655" i="15"/>
  <c r="P298" i="15"/>
  <c r="Q298" i="15"/>
  <c r="P295" i="15"/>
  <c r="G652" i="15"/>
  <c r="P213" i="15"/>
  <c r="R213" i="15"/>
  <c r="S213" i="15"/>
  <c r="G570" i="15"/>
  <c r="P301" i="15"/>
  <c r="R301" i="15"/>
  <c r="S301" i="15"/>
  <c r="G658" i="15"/>
  <c r="P294" i="15"/>
  <c r="Q294" i="15"/>
  <c r="G651" i="15"/>
  <c r="F606" i="15"/>
  <c r="N249" i="15"/>
  <c r="O249" i="15"/>
  <c r="R148" i="15"/>
  <c r="S148" i="15"/>
  <c r="Z88" i="15"/>
  <c r="AA88" i="15"/>
  <c r="Z87" i="15"/>
  <c r="AA87" i="15"/>
  <c r="P296" i="15"/>
  <c r="Q296" i="15"/>
  <c r="G653" i="15"/>
  <c r="G630" i="15"/>
  <c r="P273" i="15"/>
  <c r="G639" i="15"/>
  <c r="P282" i="15"/>
  <c r="R282" i="15"/>
  <c r="P280" i="15"/>
  <c r="R280" i="15"/>
  <c r="G637" i="15"/>
  <c r="G659" i="15"/>
  <c r="P302" i="15"/>
  <c r="G571" i="15"/>
  <c r="P214" i="15"/>
  <c r="G654" i="15"/>
  <c r="P297" i="15"/>
  <c r="Q297" i="15"/>
  <c r="P277" i="15"/>
  <c r="G634" i="15"/>
  <c r="H604" i="15"/>
  <c r="T247" i="15"/>
  <c r="V247" i="15"/>
  <c r="W247" i="15"/>
  <c r="G632" i="15"/>
  <c r="P275" i="15"/>
  <c r="P208" i="15"/>
  <c r="Q208" i="15"/>
  <c r="G565" i="15"/>
  <c r="AF246" i="15"/>
  <c r="K603" i="15"/>
  <c r="T260" i="15"/>
  <c r="U260" i="15"/>
  <c r="H617" i="15"/>
  <c r="P210" i="15"/>
  <c r="Q210" i="15"/>
  <c r="G567" i="15"/>
  <c r="G564" i="15"/>
  <c r="P207" i="15"/>
  <c r="G660" i="15"/>
  <c r="P303" i="15"/>
  <c r="Q303" i="15"/>
  <c r="AF257" i="15"/>
  <c r="AH257" i="15"/>
  <c r="K614" i="15"/>
  <c r="X242" i="15"/>
  <c r="I599" i="15"/>
  <c r="H608" i="15"/>
  <c r="T251" i="15"/>
  <c r="P281" i="15"/>
  <c r="R281" i="15"/>
  <c r="S281" i="15"/>
  <c r="G638" i="15"/>
  <c r="V121" i="15"/>
  <c r="W121" i="15"/>
  <c r="H613" i="15"/>
  <c r="T256" i="15"/>
  <c r="V256" i="15"/>
  <c r="W256" i="15"/>
  <c r="P254" i="15"/>
  <c r="Q254" i="15"/>
  <c r="G611" i="15"/>
  <c r="F572" i="15"/>
  <c r="N215" i="15"/>
  <c r="O215" i="15"/>
  <c r="R119" i="15"/>
  <c r="S119" i="15"/>
  <c r="G635" i="15"/>
  <c r="P278" i="15"/>
  <c r="R278" i="15"/>
  <c r="R80" i="15"/>
  <c r="S80" i="15"/>
  <c r="V153" i="15"/>
  <c r="W153" i="15"/>
  <c r="Z81" i="15"/>
  <c r="AA81" i="15"/>
  <c r="Z89" i="15"/>
  <c r="AA89" i="15"/>
  <c r="P274" i="15"/>
  <c r="G631" i="15"/>
  <c r="P211" i="15"/>
  <c r="Q211" i="15"/>
  <c r="R211" i="15"/>
  <c r="S211" i="15"/>
  <c r="G568" i="15"/>
  <c r="V126" i="15"/>
  <c r="W126" i="15"/>
  <c r="V165" i="15"/>
  <c r="W165" i="15"/>
  <c r="P291" i="15"/>
  <c r="G648" i="15"/>
  <c r="P287" i="15"/>
  <c r="G644" i="15"/>
  <c r="V167" i="15"/>
  <c r="W167" i="15"/>
  <c r="G649" i="15"/>
  <c r="P292" i="15"/>
  <c r="N290" i="15"/>
  <c r="O290" i="15"/>
  <c r="F647" i="15"/>
  <c r="G641" i="15"/>
  <c r="P284" i="15"/>
  <c r="P288" i="15"/>
  <c r="G645" i="15"/>
  <c r="G650" i="15"/>
  <c r="P293" i="15"/>
  <c r="F646" i="15"/>
  <c r="N289" i="15"/>
  <c r="O289" i="15"/>
  <c r="F642" i="15"/>
  <c r="N285" i="15"/>
  <c r="O285" i="15"/>
  <c r="N286" i="15"/>
  <c r="O286" i="15"/>
  <c r="F643" i="15"/>
  <c r="N271" i="15"/>
  <c r="O271" i="15"/>
  <c r="P269" i="15"/>
  <c r="F598" i="15"/>
  <c r="N241" i="15"/>
  <c r="O241" i="15"/>
  <c r="G581" i="15"/>
  <c r="N237" i="15"/>
  <c r="O237" i="15"/>
  <c r="F594" i="15"/>
  <c r="N228" i="15"/>
  <c r="O228" i="15"/>
  <c r="F585" i="15"/>
  <c r="P227" i="15"/>
  <c r="R227" i="15"/>
  <c r="S227" i="15"/>
  <c r="G584" i="15"/>
  <c r="P231" i="15"/>
  <c r="Q231" i="15"/>
  <c r="G588" i="15"/>
  <c r="R114" i="15"/>
  <c r="S114" i="15"/>
  <c r="N232" i="15"/>
  <c r="O232" i="15"/>
  <c r="F589" i="15"/>
  <c r="N222" i="15"/>
  <c r="O222" i="15"/>
  <c r="F579" i="15"/>
  <c r="T233" i="15"/>
  <c r="U233" i="15"/>
  <c r="H590" i="15"/>
  <c r="P224" i="15"/>
  <c r="R224" i="15"/>
  <c r="S224" i="15"/>
  <c r="N240" i="15"/>
  <c r="O240" i="15"/>
  <c r="F597" i="15"/>
  <c r="F593" i="15"/>
  <c r="R102" i="15"/>
  <c r="S102" i="15"/>
  <c r="P239" i="15"/>
  <c r="R239" i="15"/>
  <c r="S239" i="15"/>
  <c r="G596" i="15"/>
  <c r="N200" i="15"/>
  <c r="O200" i="15"/>
  <c r="P193" i="15"/>
  <c r="Q193" i="15"/>
  <c r="G550" i="15"/>
  <c r="P196" i="15"/>
  <c r="G553" i="15"/>
  <c r="P204" i="15"/>
  <c r="G561" i="15"/>
  <c r="F543" i="15"/>
  <c r="P194" i="15"/>
  <c r="G551" i="15"/>
  <c r="P202" i="15"/>
  <c r="G559" i="15"/>
  <c r="P199" i="15"/>
  <c r="G556" i="15"/>
  <c r="P191" i="15"/>
  <c r="Q191" i="15"/>
  <c r="G548" i="15"/>
  <c r="V70" i="15"/>
  <c r="W70" i="15"/>
  <c r="P195" i="15"/>
  <c r="G552" i="15"/>
  <c r="P197" i="15"/>
  <c r="G554" i="15"/>
  <c r="G544" i="15"/>
  <c r="G546" i="15"/>
  <c r="P192" i="15"/>
  <c r="G549" i="15"/>
  <c r="P203" i="15"/>
  <c r="Q203" i="15"/>
  <c r="G560" i="15"/>
  <c r="P205" i="15"/>
  <c r="Q205" i="15"/>
  <c r="G562" i="15"/>
  <c r="P200" i="15"/>
  <c r="Q200" i="15"/>
  <c r="G557" i="15"/>
  <c r="P198" i="15"/>
  <c r="G555" i="15"/>
  <c r="P188" i="15"/>
  <c r="Q188" i="15"/>
  <c r="G545" i="15"/>
  <c r="P190" i="15"/>
  <c r="Q190" i="15"/>
  <c r="G547" i="15"/>
  <c r="P201" i="15"/>
  <c r="G558" i="15"/>
  <c r="P218" i="15"/>
  <c r="Q218" i="15"/>
  <c r="G575" i="15"/>
  <c r="G592" i="15"/>
  <c r="P235" i="15"/>
  <c r="N220" i="15"/>
  <c r="O220" i="15"/>
  <c r="F577" i="15"/>
  <c r="G591" i="15"/>
  <c r="P234" i="15"/>
  <c r="R234" i="15"/>
  <c r="G587" i="15"/>
  <c r="P230" i="15"/>
  <c r="W101" i="15"/>
  <c r="P238" i="15"/>
  <c r="Q238" i="15"/>
  <c r="G595" i="15"/>
  <c r="P223" i="15"/>
  <c r="G580" i="15"/>
  <c r="P221" i="15"/>
  <c r="G578" i="15"/>
  <c r="P226" i="15"/>
  <c r="R226" i="15"/>
  <c r="S226" i="15"/>
  <c r="G583" i="15"/>
  <c r="F622" i="15"/>
  <c r="G621" i="15"/>
  <c r="R146" i="15"/>
  <c r="S146" i="15"/>
  <c r="F629" i="15"/>
  <c r="N272" i="15"/>
  <c r="O272" i="15"/>
  <c r="G628" i="15"/>
  <c r="P271" i="15"/>
  <c r="R271" i="15"/>
  <c r="S271" i="15"/>
  <c r="F627" i="15"/>
  <c r="N270" i="15"/>
  <c r="O270" i="15"/>
  <c r="G626" i="15"/>
  <c r="R142" i="15"/>
  <c r="S142" i="15"/>
  <c r="F625" i="15"/>
  <c r="N268" i="15"/>
  <c r="O268" i="15"/>
  <c r="F623" i="15"/>
  <c r="N266" i="15"/>
  <c r="O266" i="15"/>
  <c r="P265" i="15"/>
  <c r="R265" i="15"/>
  <c r="S265" i="15"/>
  <c r="G622" i="15"/>
  <c r="P264" i="15"/>
  <c r="Q264" i="15"/>
  <c r="F620" i="15"/>
  <c r="F640" i="15"/>
  <c r="F283" i="15"/>
  <c r="N283" i="15"/>
  <c r="O283" i="15"/>
  <c r="Q224" i="15"/>
  <c r="V139" i="15"/>
  <c r="W139" i="15"/>
  <c r="V143" i="15"/>
  <c r="W143" i="15"/>
  <c r="V133" i="15"/>
  <c r="W133" i="15"/>
  <c r="W67" i="15"/>
  <c r="AB127" i="15"/>
  <c r="AC127" i="15"/>
  <c r="J486" i="15"/>
  <c r="W86" i="15"/>
  <c r="U130" i="15"/>
  <c r="V130" i="15"/>
  <c r="W130" i="15"/>
  <c r="I530" i="15"/>
  <c r="X171" i="15"/>
  <c r="Z171" i="15"/>
  <c r="I444" i="15"/>
  <c r="X85" i="15"/>
  <c r="U128" i="15"/>
  <c r="V128" i="15"/>
  <c r="W128" i="15"/>
  <c r="AB116" i="15"/>
  <c r="AC116" i="15"/>
  <c r="J475" i="15"/>
  <c r="I536" i="15"/>
  <c r="X177" i="15"/>
  <c r="Y177" i="15"/>
  <c r="J439" i="15"/>
  <c r="AB80" i="15"/>
  <c r="AC80" i="15"/>
  <c r="AJ134" i="15"/>
  <c r="AK134" i="15"/>
  <c r="L493" i="15"/>
  <c r="X86" i="15"/>
  <c r="I445" i="15"/>
  <c r="L447" i="15"/>
  <c r="AJ88" i="15"/>
  <c r="X117" i="15"/>
  <c r="I476" i="15"/>
  <c r="I531" i="15"/>
  <c r="X172" i="15"/>
  <c r="I506" i="15"/>
  <c r="X147" i="15"/>
  <c r="Y147" i="15"/>
  <c r="X174" i="15"/>
  <c r="I533" i="15"/>
  <c r="I529" i="15"/>
  <c r="X170" i="15"/>
  <c r="U122" i="15"/>
  <c r="X135" i="15"/>
  <c r="Y135" i="15"/>
  <c r="I494" i="15"/>
  <c r="V154" i="15"/>
  <c r="W154" i="15"/>
  <c r="X156" i="15"/>
  <c r="I515" i="15"/>
  <c r="U173" i="15"/>
  <c r="V173" i="15"/>
  <c r="W173" i="15"/>
  <c r="X151" i="15"/>
  <c r="Z151" i="15"/>
  <c r="I510" i="15"/>
  <c r="X155" i="15"/>
  <c r="I514" i="15"/>
  <c r="W85" i="15"/>
  <c r="AF153" i="15"/>
  <c r="AG153" i="15"/>
  <c r="K512" i="15"/>
  <c r="V168" i="15"/>
  <c r="W168" i="15"/>
  <c r="T131" i="15"/>
  <c r="H490" i="15"/>
  <c r="I535" i="15"/>
  <c r="X176" i="15"/>
  <c r="Z176" i="15"/>
  <c r="AA176" i="15"/>
  <c r="I489" i="15"/>
  <c r="X130" i="15"/>
  <c r="Z130" i="15"/>
  <c r="AA130" i="15"/>
  <c r="I507" i="15"/>
  <c r="X148" i="15"/>
  <c r="Y148" i="15"/>
  <c r="J446" i="15"/>
  <c r="AB87" i="15"/>
  <c r="AC87" i="15"/>
  <c r="AA127" i="15"/>
  <c r="X149" i="15"/>
  <c r="Z149" i="15"/>
  <c r="AA149" i="15"/>
  <c r="I508" i="15"/>
  <c r="V170" i="15"/>
  <c r="W170" i="15"/>
  <c r="T124" i="15"/>
  <c r="H483" i="15"/>
  <c r="I477" i="15"/>
  <c r="X118" i="15"/>
  <c r="Y118" i="15"/>
  <c r="X125" i="15"/>
  <c r="Y125" i="15"/>
  <c r="I484" i="15"/>
  <c r="X152" i="15"/>
  <c r="I511" i="15"/>
  <c r="AJ121" i="15"/>
  <c r="AK121" i="15"/>
  <c r="L480" i="15"/>
  <c r="I528" i="15"/>
  <c r="X169" i="15"/>
  <c r="Y169" i="15"/>
  <c r="I527" i="15"/>
  <c r="X168" i="15"/>
  <c r="Y168" i="15"/>
  <c r="X129" i="15"/>
  <c r="I488" i="15"/>
  <c r="AF83" i="15"/>
  <c r="AG83" i="15"/>
  <c r="K442" i="15"/>
  <c r="K478" i="15"/>
  <c r="AF119" i="15"/>
  <c r="AG119" i="15"/>
  <c r="V176" i="15"/>
  <c r="W176" i="15"/>
  <c r="AJ126" i="15"/>
  <c r="AK126" i="15"/>
  <c r="L485" i="15"/>
  <c r="U172" i="15"/>
  <c r="U171" i="15"/>
  <c r="I487" i="15"/>
  <c r="X128" i="15"/>
  <c r="Z128" i="15"/>
  <c r="X132" i="15"/>
  <c r="Y132" i="15"/>
  <c r="I491" i="15"/>
  <c r="X150" i="15"/>
  <c r="I509" i="15"/>
  <c r="Y116" i="15"/>
  <c r="I481" i="15"/>
  <c r="X122" i="15"/>
  <c r="Y122" i="15"/>
  <c r="X123" i="15"/>
  <c r="Y123" i="15"/>
  <c r="I482" i="15"/>
  <c r="X133" i="15"/>
  <c r="I492" i="15"/>
  <c r="I513" i="15"/>
  <c r="X154" i="15"/>
  <c r="Y154" i="15"/>
  <c r="I532" i="15"/>
  <c r="X173" i="15"/>
  <c r="Y173" i="15"/>
  <c r="U152" i="15"/>
  <c r="U151" i="15"/>
  <c r="V151" i="15"/>
  <c r="W151" i="15"/>
  <c r="AB120" i="15"/>
  <c r="AC120" i="15"/>
  <c r="J479" i="15"/>
  <c r="H517" i="15"/>
  <c r="T158" i="15"/>
  <c r="X164" i="15"/>
  <c r="I523" i="15"/>
  <c r="X162" i="15"/>
  <c r="Y162" i="15"/>
  <c r="I521" i="15"/>
  <c r="I520" i="15"/>
  <c r="X161" i="15"/>
  <c r="Y161" i="15"/>
  <c r="H525" i="15"/>
  <c r="T166" i="15"/>
  <c r="I518" i="15"/>
  <c r="X159" i="15"/>
  <c r="H519" i="15"/>
  <c r="T160" i="15"/>
  <c r="X167" i="15"/>
  <c r="Y167" i="15"/>
  <c r="I526" i="15"/>
  <c r="I524" i="15"/>
  <c r="X165" i="15"/>
  <c r="I522" i="15"/>
  <c r="X163" i="15"/>
  <c r="Y163" i="15"/>
  <c r="I502" i="15"/>
  <c r="X143" i="15"/>
  <c r="Y143" i="15"/>
  <c r="I498" i="15"/>
  <c r="X139" i="15"/>
  <c r="U145" i="15"/>
  <c r="W145" i="15"/>
  <c r="H499" i="15"/>
  <c r="T140" i="15"/>
  <c r="V140" i="15"/>
  <c r="W140" i="15"/>
  <c r="U140" i="15"/>
  <c r="I500" i="15"/>
  <c r="X141" i="15"/>
  <c r="Y141" i="15"/>
  <c r="I501" i="15"/>
  <c r="X142" i="15"/>
  <c r="Y142" i="15"/>
  <c r="X145" i="15"/>
  <c r="I504" i="15"/>
  <c r="I503" i="15"/>
  <c r="X144" i="15"/>
  <c r="I505" i="15"/>
  <c r="X146" i="15"/>
  <c r="Y146" i="15"/>
  <c r="H455" i="15"/>
  <c r="T96" i="15"/>
  <c r="Z103" i="15"/>
  <c r="AA103" i="15"/>
  <c r="I471" i="15"/>
  <c r="X112" i="15"/>
  <c r="Y112" i="15"/>
  <c r="U95" i="15"/>
  <c r="V95" i="15"/>
  <c r="W95" i="15"/>
  <c r="I465" i="15"/>
  <c r="X106" i="15"/>
  <c r="Y106" i="15"/>
  <c r="X98" i="15"/>
  <c r="Y98" i="15"/>
  <c r="I457" i="15"/>
  <c r="X94" i="15"/>
  <c r="Y94" i="15"/>
  <c r="I453" i="15"/>
  <c r="U110" i="15"/>
  <c r="V110" i="15"/>
  <c r="W110" i="15"/>
  <c r="AB103" i="15"/>
  <c r="AC103" i="15"/>
  <c r="J462" i="15"/>
  <c r="X97" i="15"/>
  <c r="Y97" i="15"/>
  <c r="I456" i="15"/>
  <c r="X95" i="15"/>
  <c r="Z95" i="15"/>
  <c r="AA95" i="15"/>
  <c r="I454" i="15"/>
  <c r="X105" i="15"/>
  <c r="I464" i="15"/>
  <c r="X104" i="15"/>
  <c r="Y104" i="15"/>
  <c r="I463" i="15"/>
  <c r="AB100" i="15"/>
  <c r="AC100" i="15"/>
  <c r="J459" i="15"/>
  <c r="X99" i="15"/>
  <c r="I458" i="15"/>
  <c r="X108" i="15"/>
  <c r="Y108" i="15"/>
  <c r="I467" i="15"/>
  <c r="U99" i="15"/>
  <c r="V99" i="15"/>
  <c r="W99" i="15"/>
  <c r="I469" i="15"/>
  <c r="X110" i="15"/>
  <c r="X115" i="15"/>
  <c r="Y115" i="15"/>
  <c r="I474" i="15"/>
  <c r="I473" i="15"/>
  <c r="X114" i="15"/>
  <c r="I461" i="15"/>
  <c r="X102" i="15"/>
  <c r="Y102" i="15"/>
  <c r="V105" i="15"/>
  <c r="W105" i="15"/>
  <c r="X109" i="15"/>
  <c r="Y109" i="15"/>
  <c r="I468" i="15"/>
  <c r="X101" i="15"/>
  <c r="Y101" i="15"/>
  <c r="I460" i="15"/>
  <c r="T113" i="15"/>
  <c r="U113" i="15"/>
  <c r="H472" i="15"/>
  <c r="T107" i="15"/>
  <c r="H466" i="15"/>
  <c r="X111" i="15"/>
  <c r="Y111" i="15"/>
  <c r="I470" i="15"/>
  <c r="I436" i="15"/>
  <c r="X77" i="15"/>
  <c r="Y77" i="15"/>
  <c r="U78" i="15"/>
  <c r="U77" i="15"/>
  <c r="V77" i="15"/>
  <c r="W77" i="15"/>
  <c r="V71" i="15"/>
  <c r="W71" i="15"/>
  <c r="I426" i="15"/>
  <c r="X67" i="15"/>
  <c r="Y67" i="15"/>
  <c r="X79" i="15"/>
  <c r="I438" i="15"/>
  <c r="X73" i="15"/>
  <c r="I432" i="15"/>
  <c r="I425" i="15"/>
  <c r="X66" i="15"/>
  <c r="X68" i="15"/>
  <c r="I427" i="15"/>
  <c r="I431" i="15"/>
  <c r="X72" i="15"/>
  <c r="X75" i="15"/>
  <c r="Y75" i="15"/>
  <c r="I434" i="15"/>
  <c r="I428" i="15"/>
  <c r="X69" i="15"/>
  <c r="Z69" i="15"/>
  <c r="AA69" i="15"/>
  <c r="U76" i="15"/>
  <c r="V76" i="15"/>
  <c r="W76" i="15"/>
  <c r="I429" i="15"/>
  <c r="X70" i="15"/>
  <c r="Y70" i="15"/>
  <c r="U65" i="15"/>
  <c r="U79" i="15"/>
  <c r="V79" i="15"/>
  <c r="W79" i="15"/>
  <c r="U73" i="15"/>
  <c r="U69" i="15"/>
  <c r="V69" i="15"/>
  <c r="W69" i="15"/>
  <c r="I437" i="15"/>
  <c r="X78" i="15"/>
  <c r="Y78" i="15"/>
  <c r="I433" i="15"/>
  <c r="X74" i="15"/>
  <c r="I430" i="15"/>
  <c r="X71" i="15"/>
  <c r="Y71" i="15"/>
  <c r="X76" i="15"/>
  <c r="I435" i="15"/>
  <c r="I424" i="15"/>
  <c r="X65" i="15"/>
  <c r="V118" i="15"/>
  <c r="W118" i="15"/>
  <c r="H607" i="15"/>
  <c r="T250" i="15"/>
  <c r="P261" i="15"/>
  <c r="G618" i="15"/>
  <c r="H616" i="15"/>
  <c r="T259" i="15"/>
  <c r="V135" i="15"/>
  <c r="W135" i="15"/>
  <c r="V134" i="15"/>
  <c r="V147" i="15"/>
  <c r="W147" i="15"/>
  <c r="P255" i="15"/>
  <c r="G612" i="15"/>
  <c r="P244" i="15"/>
  <c r="Q244" i="15"/>
  <c r="G601" i="15"/>
  <c r="Z126" i="15"/>
  <c r="H568" i="15"/>
  <c r="T211" i="15"/>
  <c r="V211" i="15"/>
  <c r="W211" i="15"/>
  <c r="Z153" i="15"/>
  <c r="H635" i="15"/>
  <c r="T278" i="15"/>
  <c r="V278" i="15"/>
  <c r="H638" i="15"/>
  <c r="T281" i="15"/>
  <c r="V281" i="15"/>
  <c r="W281" i="15"/>
  <c r="R303" i="15"/>
  <c r="S303" i="15"/>
  <c r="X260" i="15"/>
  <c r="I617" i="15"/>
  <c r="AG246" i="15"/>
  <c r="AH246" i="15"/>
  <c r="AI246" i="15"/>
  <c r="R277" i="15"/>
  <c r="S277" i="15"/>
  <c r="Q277" i="15"/>
  <c r="R302" i="15"/>
  <c r="S302" i="15"/>
  <c r="Q302" i="15"/>
  <c r="T280" i="15"/>
  <c r="H637" i="15"/>
  <c r="S282" i="15"/>
  <c r="P249" i="15"/>
  <c r="G606" i="15"/>
  <c r="H658" i="15"/>
  <c r="T301" i="15"/>
  <c r="V301" i="15"/>
  <c r="Q213" i="15"/>
  <c r="R298" i="15"/>
  <c r="S298" i="15"/>
  <c r="T300" i="15"/>
  <c r="U300" i="15"/>
  <c r="H657" i="15"/>
  <c r="Q245" i="15"/>
  <c r="R245" i="15"/>
  <c r="S245" i="15"/>
  <c r="H656" i="15"/>
  <c r="T299" i="15"/>
  <c r="S278" i="15"/>
  <c r="T254" i="15"/>
  <c r="U254" i="15"/>
  <c r="H611" i="15"/>
  <c r="U256" i="15"/>
  <c r="Y242" i="15"/>
  <c r="Z242" i="15"/>
  <c r="AA242" i="15"/>
  <c r="T207" i="15"/>
  <c r="H564" i="15"/>
  <c r="R210" i="15"/>
  <c r="S210" i="15"/>
  <c r="V260" i="15"/>
  <c r="W260" i="15"/>
  <c r="X247" i="15"/>
  <c r="I604" i="15"/>
  <c r="R297" i="15"/>
  <c r="S297" i="15"/>
  <c r="V120" i="15"/>
  <c r="W120" i="15"/>
  <c r="V148" i="15"/>
  <c r="W148" i="15"/>
  <c r="Q301" i="15"/>
  <c r="T213" i="15"/>
  <c r="U213" i="15"/>
  <c r="H570" i="15"/>
  <c r="T212" i="15"/>
  <c r="H569" i="15"/>
  <c r="Z82" i="15"/>
  <c r="AA82" i="15"/>
  <c r="T245" i="15"/>
  <c r="H602" i="15"/>
  <c r="H610" i="15"/>
  <c r="T253" i="15"/>
  <c r="R299" i="15"/>
  <c r="S299" i="15"/>
  <c r="Q299" i="15"/>
  <c r="R276" i="15"/>
  <c r="S276" i="15"/>
  <c r="H631" i="15"/>
  <c r="T274" i="15"/>
  <c r="AD81" i="15"/>
  <c r="AE81" i="15"/>
  <c r="V119" i="15"/>
  <c r="W119" i="15"/>
  <c r="AB242" i="15"/>
  <c r="AC242" i="15"/>
  <c r="J599" i="15"/>
  <c r="AI257" i="15"/>
  <c r="H660" i="15"/>
  <c r="T303" i="15"/>
  <c r="U303" i="15"/>
  <c r="Z125" i="15"/>
  <c r="AA125" i="15"/>
  <c r="T210" i="15"/>
  <c r="V210" i="15"/>
  <c r="H567" i="15"/>
  <c r="R208" i="15"/>
  <c r="S208" i="15"/>
  <c r="H632" i="15"/>
  <c r="T275" i="15"/>
  <c r="U275" i="15"/>
  <c r="V123" i="15"/>
  <c r="W123" i="15"/>
  <c r="T214" i="15"/>
  <c r="H571" i="15"/>
  <c r="H630" i="15"/>
  <c r="T273" i="15"/>
  <c r="R296" i="15"/>
  <c r="S296" i="15"/>
  <c r="R294" i="15"/>
  <c r="S294" i="15"/>
  <c r="H652" i="15"/>
  <c r="T295" i="15"/>
  <c r="V295" i="15"/>
  <c r="W295" i="15"/>
  <c r="T298" i="15"/>
  <c r="U298" i="15"/>
  <c r="H655" i="15"/>
  <c r="W177" i="15"/>
  <c r="Q279" i="15"/>
  <c r="R279" i="15"/>
  <c r="S279" i="15"/>
  <c r="P206" i="15"/>
  <c r="R206" i="15"/>
  <c r="S206" i="15"/>
  <c r="G563" i="15"/>
  <c r="P258" i="15"/>
  <c r="G615" i="15"/>
  <c r="Z121" i="15"/>
  <c r="AA121" i="15"/>
  <c r="V251" i="15"/>
  <c r="W251" i="15"/>
  <c r="U251" i="15"/>
  <c r="R274" i="15"/>
  <c r="S274" i="15"/>
  <c r="Q274" i="15"/>
  <c r="V80" i="15"/>
  <c r="W80" i="15"/>
  <c r="G572" i="15"/>
  <c r="P215" i="15"/>
  <c r="V132" i="15"/>
  <c r="W132" i="15"/>
  <c r="X256" i="15"/>
  <c r="I613" i="15"/>
  <c r="Q281" i="15"/>
  <c r="I608" i="15"/>
  <c r="X251" i="15"/>
  <c r="AJ257" i="15"/>
  <c r="L614" i="15"/>
  <c r="Q207" i="15"/>
  <c r="R207" i="15"/>
  <c r="S207" i="15"/>
  <c r="AJ246" i="15"/>
  <c r="AL246" i="15"/>
  <c r="AM246" i="15"/>
  <c r="L603" i="15"/>
  <c r="T208" i="15"/>
  <c r="V208" i="15"/>
  <c r="W208" i="15"/>
  <c r="H565" i="15"/>
  <c r="U247" i="15"/>
  <c r="H634" i="15"/>
  <c r="T277" i="15"/>
  <c r="H654" i="15"/>
  <c r="T297" i="15"/>
  <c r="V297" i="15"/>
  <c r="W297" i="15"/>
  <c r="T302" i="15"/>
  <c r="H659" i="15"/>
  <c r="Q280" i="15"/>
  <c r="S280" i="15"/>
  <c r="H639" i="15"/>
  <c r="T282" i="15"/>
  <c r="T296" i="15"/>
  <c r="V296" i="15"/>
  <c r="H653" i="15"/>
  <c r="T294" i="15"/>
  <c r="U294" i="15"/>
  <c r="H651" i="15"/>
  <c r="R295" i="15"/>
  <c r="S295" i="15"/>
  <c r="Q295" i="15"/>
  <c r="Q300" i="15"/>
  <c r="G609" i="15"/>
  <c r="P252" i="15"/>
  <c r="T279" i="15"/>
  <c r="H636" i="15"/>
  <c r="T276" i="15"/>
  <c r="H633" i="15"/>
  <c r="V162" i="15"/>
  <c r="W162" i="15"/>
  <c r="G646" i="15"/>
  <c r="P289" i="15"/>
  <c r="Q288" i="15"/>
  <c r="R288" i="15"/>
  <c r="S288" i="15"/>
  <c r="V163" i="15"/>
  <c r="W159" i="15"/>
  <c r="T293" i="15"/>
  <c r="V293" i="15"/>
  <c r="W293" i="15"/>
  <c r="H650" i="15"/>
  <c r="R284" i="15"/>
  <c r="S284" i="15"/>
  <c r="Q284" i="15"/>
  <c r="G647" i="15"/>
  <c r="P290" i="15"/>
  <c r="Q292" i="15"/>
  <c r="R292" i="15"/>
  <c r="S292" i="15"/>
  <c r="Q293" i="15"/>
  <c r="R293" i="15"/>
  <c r="S293" i="15"/>
  <c r="H645" i="15"/>
  <c r="T288" i="15"/>
  <c r="H644" i="15"/>
  <c r="T287" i="15"/>
  <c r="U287" i="15"/>
  <c r="R291" i="15"/>
  <c r="S291" i="15"/>
  <c r="Q291" i="15"/>
  <c r="G643" i="15"/>
  <c r="P286" i="15"/>
  <c r="Q286" i="15"/>
  <c r="G642" i="15"/>
  <c r="P285" i="15"/>
  <c r="R285" i="15"/>
  <c r="H641" i="15"/>
  <c r="T284" i="15"/>
  <c r="H649" i="15"/>
  <c r="T292" i="15"/>
  <c r="U292" i="15"/>
  <c r="V164" i="15"/>
  <c r="W164" i="15"/>
  <c r="T291" i="15"/>
  <c r="H648" i="15"/>
  <c r="Z98" i="15"/>
  <c r="AA98" i="15"/>
  <c r="V106" i="15"/>
  <c r="W106" i="15"/>
  <c r="G597" i="15"/>
  <c r="P240" i="15"/>
  <c r="R240" i="15"/>
  <c r="P232" i="15"/>
  <c r="G589" i="15"/>
  <c r="R231" i="15"/>
  <c r="S231" i="15"/>
  <c r="V97" i="15"/>
  <c r="W97" i="15"/>
  <c r="T224" i="15"/>
  <c r="U224" i="15"/>
  <c r="H581" i="15"/>
  <c r="X233" i="15"/>
  <c r="I590" i="15"/>
  <c r="V102" i="15"/>
  <c r="W102" i="15"/>
  <c r="T227" i="15"/>
  <c r="U227" i="15"/>
  <c r="V227" i="15"/>
  <c r="W227" i="15"/>
  <c r="H584" i="15"/>
  <c r="P237" i="15"/>
  <c r="Q237" i="15"/>
  <c r="G594" i="15"/>
  <c r="Z109" i="15"/>
  <c r="AA109" i="15"/>
  <c r="H588" i="15"/>
  <c r="T231" i="15"/>
  <c r="Q227" i="15"/>
  <c r="Q239" i="15"/>
  <c r="H596" i="15"/>
  <c r="T239" i="15"/>
  <c r="V239" i="15"/>
  <c r="W239" i="15"/>
  <c r="P236" i="15"/>
  <c r="G593" i="15"/>
  <c r="V100" i="15"/>
  <c r="W100" i="15"/>
  <c r="V233" i="15"/>
  <c r="W233" i="15"/>
  <c r="P222" i="15"/>
  <c r="Q222" i="15"/>
  <c r="G579" i="15"/>
  <c r="G585" i="15"/>
  <c r="P228" i="15"/>
  <c r="G598" i="15"/>
  <c r="P241" i="15"/>
  <c r="Q241" i="15"/>
  <c r="T190" i="15"/>
  <c r="H547" i="15"/>
  <c r="T198" i="15"/>
  <c r="H555" i="15"/>
  <c r="R203" i="15"/>
  <c r="S203" i="15"/>
  <c r="T187" i="15"/>
  <c r="U187" i="15"/>
  <c r="H544" i="15"/>
  <c r="T195" i="15"/>
  <c r="U195" i="15"/>
  <c r="H552" i="15"/>
  <c r="T199" i="15"/>
  <c r="V199" i="15"/>
  <c r="H556" i="15"/>
  <c r="T202" i="15"/>
  <c r="H559" i="15"/>
  <c r="T203" i="15"/>
  <c r="U203" i="15"/>
  <c r="H560" i="15"/>
  <c r="T191" i="15"/>
  <c r="H548" i="15"/>
  <c r="R200" i="15"/>
  <c r="S200" i="15"/>
  <c r="T205" i="15"/>
  <c r="V205" i="15"/>
  <c r="W205" i="15"/>
  <c r="H562" i="15"/>
  <c r="Z70" i="15"/>
  <c r="AA70" i="15"/>
  <c r="T204" i="15"/>
  <c r="V204" i="15"/>
  <c r="W204" i="15"/>
  <c r="H561" i="15"/>
  <c r="T196" i="15"/>
  <c r="V196" i="15"/>
  <c r="W196" i="15"/>
  <c r="H553" i="15"/>
  <c r="T193" i="15"/>
  <c r="U193" i="15"/>
  <c r="H550" i="15"/>
  <c r="T192" i="15"/>
  <c r="V192" i="15"/>
  <c r="W192" i="15"/>
  <c r="H549" i="15"/>
  <c r="R191" i="15"/>
  <c r="S191" i="15"/>
  <c r="P186" i="15"/>
  <c r="Q186" i="15"/>
  <c r="G543" i="15"/>
  <c r="T201" i="15"/>
  <c r="H558" i="15"/>
  <c r="R205" i="15"/>
  <c r="S205" i="15"/>
  <c r="T194" i="15"/>
  <c r="U194" i="15"/>
  <c r="H551" i="15"/>
  <c r="H546" i="15"/>
  <c r="T197" i="15"/>
  <c r="V197" i="15"/>
  <c r="H554" i="15"/>
  <c r="T188" i="15"/>
  <c r="U188" i="15"/>
  <c r="T200" i="15"/>
  <c r="H557" i="15"/>
  <c r="Q192" i="15"/>
  <c r="R192" i="15"/>
  <c r="S192" i="15"/>
  <c r="Q199" i="15"/>
  <c r="R199" i="15"/>
  <c r="S199" i="15"/>
  <c r="Q204" i="15"/>
  <c r="R204" i="15"/>
  <c r="S204" i="15"/>
  <c r="R193" i="15"/>
  <c r="S193" i="15"/>
  <c r="AD103" i="15"/>
  <c r="AE103" i="15"/>
  <c r="H583" i="15"/>
  <c r="T226" i="15"/>
  <c r="H580" i="15"/>
  <c r="T223" i="15"/>
  <c r="H587" i="15"/>
  <c r="T230" i="15"/>
  <c r="R238" i="15"/>
  <c r="S238" i="15"/>
  <c r="P220" i="15"/>
  <c r="Q220" i="15"/>
  <c r="G577" i="15"/>
  <c r="S234" i="15"/>
  <c r="Q234" i="15"/>
  <c r="T235" i="15"/>
  <c r="H592" i="15"/>
  <c r="Z101" i="15"/>
  <c r="AA101" i="15"/>
  <c r="R221" i="15"/>
  <c r="S221" i="15"/>
  <c r="Q221" i="15"/>
  <c r="H595" i="15"/>
  <c r="T238" i="15"/>
  <c r="V238" i="15"/>
  <c r="R230" i="15"/>
  <c r="S230" i="15"/>
  <c r="Q230" i="15"/>
  <c r="T234" i="15"/>
  <c r="H591" i="15"/>
  <c r="T221" i="15"/>
  <c r="V221" i="15"/>
  <c r="W221" i="15"/>
  <c r="U221" i="15"/>
  <c r="H578" i="15"/>
  <c r="H621" i="15"/>
  <c r="P272" i="15"/>
  <c r="G629" i="15"/>
  <c r="V146" i="15"/>
  <c r="W146" i="15"/>
  <c r="H628" i="15"/>
  <c r="T271" i="15"/>
  <c r="U271" i="15"/>
  <c r="Q271" i="15"/>
  <c r="G627" i="15"/>
  <c r="P270" i="15"/>
  <c r="R270" i="15"/>
  <c r="V144" i="15"/>
  <c r="W144" i="15"/>
  <c r="T269" i="15"/>
  <c r="V269" i="15"/>
  <c r="W269" i="15"/>
  <c r="H626" i="15"/>
  <c r="R269" i="15"/>
  <c r="S269" i="15"/>
  <c r="Q269" i="15"/>
  <c r="G625" i="15"/>
  <c r="P268" i="15"/>
  <c r="V142" i="15"/>
  <c r="W142" i="15"/>
  <c r="N267" i="15"/>
  <c r="O267" i="15"/>
  <c r="F624" i="15"/>
  <c r="G623" i="15"/>
  <c r="P266" i="15"/>
  <c r="T265" i="15"/>
  <c r="V265" i="15"/>
  <c r="H622" i="15"/>
  <c r="Q265" i="15"/>
  <c r="G620" i="15"/>
  <c r="G640" i="15"/>
  <c r="G283" i="15"/>
  <c r="P283" i="15"/>
  <c r="P263" i="15"/>
  <c r="Q263" i="15"/>
  <c r="Z161" i="15"/>
  <c r="AA161" i="15"/>
  <c r="AF120" i="15"/>
  <c r="AG120" i="15"/>
  <c r="K479" i="15"/>
  <c r="Z154" i="15"/>
  <c r="AA154" i="15"/>
  <c r="AB123" i="15"/>
  <c r="AC123" i="15"/>
  <c r="J482" i="15"/>
  <c r="AD116" i="15"/>
  <c r="AE116" i="15"/>
  <c r="J509" i="15"/>
  <c r="AB150" i="15"/>
  <c r="AD150" i="15"/>
  <c r="AE150" i="15"/>
  <c r="Y128" i="15"/>
  <c r="AA128" i="15"/>
  <c r="AB152" i="15"/>
  <c r="J511" i="15"/>
  <c r="J477" i="15"/>
  <c r="AB118" i="15"/>
  <c r="AC118" i="15"/>
  <c r="Y149" i="15"/>
  <c r="AD127" i="15"/>
  <c r="AE127" i="15"/>
  <c r="AB148" i="15"/>
  <c r="AC148" i="15"/>
  <c r="J507" i="15"/>
  <c r="AB130" i="15"/>
  <c r="AC130" i="15"/>
  <c r="J489" i="15"/>
  <c r="J514" i="15"/>
  <c r="AB155" i="15"/>
  <c r="AC155" i="15"/>
  <c r="J533" i="15"/>
  <c r="AB174" i="15"/>
  <c r="AC174" i="15"/>
  <c r="J506" i="15"/>
  <c r="AB147" i="15"/>
  <c r="AC147" i="15"/>
  <c r="AB171" i="15"/>
  <c r="J530" i="15"/>
  <c r="J532" i="15"/>
  <c r="AB173" i="15"/>
  <c r="AC173" i="15"/>
  <c r="AB133" i="15"/>
  <c r="AC133" i="15"/>
  <c r="J492" i="15"/>
  <c r="Z122" i="15"/>
  <c r="AA122" i="15"/>
  <c r="AJ119" i="15"/>
  <c r="AK119" i="15"/>
  <c r="L478" i="15"/>
  <c r="AB125" i="15"/>
  <c r="AC125" i="15"/>
  <c r="J484" i="15"/>
  <c r="J494" i="15"/>
  <c r="AB135" i="15"/>
  <c r="AC135" i="15"/>
  <c r="Y174" i="15"/>
  <c r="Z174" i="15"/>
  <c r="AA174" i="15"/>
  <c r="AB172" i="15"/>
  <c r="J531" i="15"/>
  <c r="Y117" i="15"/>
  <c r="Z117" i="15"/>
  <c r="AA117" i="15"/>
  <c r="Y171" i="15"/>
  <c r="AA171" i="15"/>
  <c r="AF127" i="15"/>
  <c r="AH127" i="15"/>
  <c r="AI127" i="15"/>
  <c r="K486" i="15"/>
  <c r="AD87" i="15"/>
  <c r="AE87" i="15"/>
  <c r="Z173" i="15"/>
  <c r="AA173" i="15"/>
  <c r="J513" i="15"/>
  <c r="AB154" i="15"/>
  <c r="AB122" i="15"/>
  <c r="J481" i="15"/>
  <c r="J487" i="15"/>
  <c r="AB128" i="15"/>
  <c r="AJ83" i="15"/>
  <c r="AK83" i="15"/>
  <c r="L442" i="15"/>
  <c r="AB129" i="15"/>
  <c r="AC129" i="15"/>
  <c r="J488" i="15"/>
  <c r="AB168" i="15"/>
  <c r="J527" i="15"/>
  <c r="Y152" i="15"/>
  <c r="Z152" i="15"/>
  <c r="AA152" i="15"/>
  <c r="U124" i="15"/>
  <c r="V124" i="15"/>
  <c r="W124" i="15"/>
  <c r="K446" i="15"/>
  <c r="AF87" i="15"/>
  <c r="AG87" i="15"/>
  <c r="AB176" i="15"/>
  <c r="AD176" i="15"/>
  <c r="J535" i="15"/>
  <c r="U131" i="15"/>
  <c r="V131" i="15"/>
  <c r="W131" i="15"/>
  <c r="AJ153" i="15"/>
  <c r="AK153" i="15"/>
  <c r="L512" i="15"/>
  <c r="Y151" i="15"/>
  <c r="AA151" i="15"/>
  <c r="AB156" i="15"/>
  <c r="AC156" i="15"/>
  <c r="J515" i="15"/>
  <c r="J529" i="15"/>
  <c r="AB170" i="15"/>
  <c r="AD170" i="15"/>
  <c r="AE170" i="15"/>
  <c r="AB117" i="15"/>
  <c r="J476" i="15"/>
  <c r="Z86" i="15"/>
  <c r="AA86" i="15"/>
  <c r="Y86" i="15"/>
  <c r="K439" i="15"/>
  <c r="AF80" i="15"/>
  <c r="AG80" i="15"/>
  <c r="AF116" i="15"/>
  <c r="K475" i="15"/>
  <c r="Z169" i="15"/>
  <c r="AA169" i="15"/>
  <c r="Y150" i="15"/>
  <c r="Z150" i="15"/>
  <c r="AA150" i="15"/>
  <c r="AB132" i="15"/>
  <c r="AC132" i="15"/>
  <c r="J491" i="15"/>
  <c r="J528" i="15"/>
  <c r="AB169" i="15"/>
  <c r="AC169" i="15"/>
  <c r="X124" i="15"/>
  <c r="Z124" i="15"/>
  <c r="AA124" i="15"/>
  <c r="Y124" i="15"/>
  <c r="I483" i="15"/>
  <c r="J508" i="15"/>
  <c r="AB149" i="15"/>
  <c r="Y130" i="15"/>
  <c r="I490" i="15"/>
  <c r="X131" i="15"/>
  <c r="AB151" i="15"/>
  <c r="J510" i="15"/>
  <c r="AB86" i="15"/>
  <c r="AC86" i="15"/>
  <c r="J445" i="15"/>
  <c r="AB177" i="15"/>
  <c r="AC177" i="15"/>
  <c r="J536" i="15"/>
  <c r="J444" i="15"/>
  <c r="AB85" i="15"/>
  <c r="AB167" i="15"/>
  <c r="J526" i="15"/>
  <c r="X160" i="15"/>
  <c r="Y160" i="15"/>
  <c r="I519" i="15"/>
  <c r="AB162" i="15"/>
  <c r="AC162" i="15"/>
  <c r="J521" i="15"/>
  <c r="AB163" i="15"/>
  <c r="AC163" i="15"/>
  <c r="J522" i="15"/>
  <c r="J518" i="15"/>
  <c r="AB159" i="15"/>
  <c r="I525" i="15"/>
  <c r="X166" i="15"/>
  <c r="Y166" i="15"/>
  <c r="J524" i="15"/>
  <c r="AB165" i="15"/>
  <c r="AD165" i="15"/>
  <c r="AE165" i="15"/>
  <c r="U166" i="15"/>
  <c r="V166" i="15"/>
  <c r="W166" i="15"/>
  <c r="AB161" i="15"/>
  <c r="AC161" i="15"/>
  <c r="J520" i="15"/>
  <c r="Z167" i="15"/>
  <c r="AA167" i="15"/>
  <c r="J523" i="15"/>
  <c r="AB164" i="15"/>
  <c r="I517" i="15"/>
  <c r="X158" i="15"/>
  <c r="Y158" i="15"/>
  <c r="Y145" i="15"/>
  <c r="Z145" i="15"/>
  <c r="AA145" i="15"/>
  <c r="J505" i="15"/>
  <c r="AB146" i="15"/>
  <c r="Z143" i="15"/>
  <c r="AA143" i="15"/>
  <c r="AB141" i="15"/>
  <c r="AC141" i="15"/>
  <c r="J500" i="15"/>
  <c r="J502" i="15"/>
  <c r="AB143" i="15"/>
  <c r="AC143" i="15"/>
  <c r="J498" i="15"/>
  <c r="AB139" i="15"/>
  <c r="J503" i="15"/>
  <c r="AB144" i="15"/>
  <c r="AC144" i="15"/>
  <c r="J504" i="15"/>
  <c r="AB145" i="15"/>
  <c r="J501" i="15"/>
  <c r="AB142" i="15"/>
  <c r="AC142" i="15"/>
  <c r="I499" i="15"/>
  <c r="X140" i="15"/>
  <c r="Y140" i="15"/>
  <c r="X96" i="15"/>
  <c r="Y96" i="15"/>
  <c r="I455" i="15"/>
  <c r="Z115" i="15"/>
  <c r="AA115" i="15"/>
  <c r="J471" i="15"/>
  <c r="AB112" i="15"/>
  <c r="AC112" i="15"/>
  <c r="V107" i="15"/>
  <c r="W107" i="15"/>
  <c r="U107" i="15"/>
  <c r="X113" i="15"/>
  <c r="I472" i="15"/>
  <c r="AB114" i="15"/>
  <c r="AC114" i="15"/>
  <c r="J473" i="15"/>
  <c r="Y110" i="15"/>
  <c r="Z110" i="15"/>
  <c r="AA110" i="15"/>
  <c r="AB99" i="15"/>
  <c r="AC99" i="15"/>
  <c r="J458" i="15"/>
  <c r="Y95" i="15"/>
  <c r="J457" i="15"/>
  <c r="AB98" i="15"/>
  <c r="AC98" i="15"/>
  <c r="X107" i="15"/>
  <c r="I466" i="15"/>
  <c r="AB110" i="15"/>
  <c r="J469" i="15"/>
  <c r="AB108" i="15"/>
  <c r="J467" i="15"/>
  <c r="AB106" i="15"/>
  <c r="AC106" i="15"/>
  <c r="J465" i="15"/>
  <c r="AB115" i="15"/>
  <c r="AC115" i="15"/>
  <c r="J474" i="15"/>
  <c r="AB104" i="15"/>
  <c r="J463" i="15"/>
  <c r="AB97" i="15"/>
  <c r="AC97" i="15"/>
  <c r="J456" i="15"/>
  <c r="J453" i="15"/>
  <c r="AB94" i="15"/>
  <c r="AC94" i="15"/>
  <c r="AB111" i="15"/>
  <c r="J470" i="15"/>
  <c r="Z108" i="15"/>
  <c r="AA108" i="15"/>
  <c r="AB102" i="15"/>
  <c r="AC102" i="15"/>
  <c r="J461" i="15"/>
  <c r="AF103" i="15"/>
  <c r="AG103" i="15"/>
  <c r="K462" i="15"/>
  <c r="V113" i="15"/>
  <c r="W113" i="15"/>
  <c r="AB101" i="15"/>
  <c r="AC101" i="15"/>
  <c r="J460" i="15"/>
  <c r="AB109" i="15"/>
  <c r="AC109" i="15"/>
  <c r="J468" i="15"/>
  <c r="Y99" i="15"/>
  <c r="Z99" i="15"/>
  <c r="AA99" i="15"/>
  <c r="AF100" i="15"/>
  <c r="K459" i="15"/>
  <c r="AB105" i="15"/>
  <c r="AC105" i="15"/>
  <c r="J464" i="15"/>
  <c r="AB95" i="15"/>
  <c r="AC95" i="15"/>
  <c r="J454" i="15"/>
  <c r="AB76" i="15"/>
  <c r="AD76" i="15"/>
  <c r="AE76" i="15"/>
  <c r="J435" i="15"/>
  <c r="J430" i="15"/>
  <c r="AB71" i="15"/>
  <c r="Z78" i="15"/>
  <c r="AA78" i="15"/>
  <c r="J428" i="15"/>
  <c r="AB69" i="15"/>
  <c r="Y72" i="15"/>
  <c r="Z72" i="15"/>
  <c r="AA72" i="15"/>
  <c r="AB73" i="15"/>
  <c r="J432" i="15"/>
  <c r="J438" i="15"/>
  <c r="AB79" i="15"/>
  <c r="Y65" i="15"/>
  <c r="Z65" i="15"/>
  <c r="AA65" i="15"/>
  <c r="AB78" i="15"/>
  <c r="J437" i="15"/>
  <c r="Z75" i="15"/>
  <c r="AA75" i="15"/>
  <c r="J434" i="15"/>
  <c r="AB75" i="15"/>
  <c r="Y68" i="15"/>
  <c r="Z68" i="15"/>
  <c r="AA68" i="15"/>
  <c r="Y73" i="15"/>
  <c r="Z73" i="15"/>
  <c r="AA73" i="15"/>
  <c r="AB77" i="15"/>
  <c r="J436" i="15"/>
  <c r="Y76" i="15"/>
  <c r="Z76" i="15"/>
  <c r="AA76" i="15"/>
  <c r="J429" i="15"/>
  <c r="AB70" i="15"/>
  <c r="Y69" i="15"/>
  <c r="J431" i="15"/>
  <c r="AB72" i="15"/>
  <c r="AC72" i="15"/>
  <c r="Y66" i="15"/>
  <c r="Z66" i="15"/>
  <c r="AA66" i="15"/>
  <c r="J424" i="15"/>
  <c r="AB65" i="15"/>
  <c r="AB74" i="15"/>
  <c r="AC74" i="15"/>
  <c r="J433" i="15"/>
  <c r="AB68" i="15"/>
  <c r="AD68" i="15"/>
  <c r="AE68" i="15"/>
  <c r="J427" i="15"/>
  <c r="J425" i="15"/>
  <c r="AB66" i="15"/>
  <c r="J426" i="15"/>
  <c r="AB67" i="15"/>
  <c r="H618" i="15"/>
  <c r="T261" i="15"/>
  <c r="H612" i="15"/>
  <c r="T255" i="15"/>
  <c r="U255" i="15"/>
  <c r="Z134" i="15"/>
  <c r="AA134" i="15"/>
  <c r="W134" i="15"/>
  <c r="V259" i="15"/>
  <c r="W259" i="15"/>
  <c r="U259" i="15"/>
  <c r="I607" i="15"/>
  <c r="X250" i="15"/>
  <c r="Z250" i="15"/>
  <c r="AA250" i="15"/>
  <c r="Z118" i="15"/>
  <c r="AA118" i="15"/>
  <c r="Z147" i="15"/>
  <c r="AA147" i="15"/>
  <c r="U250" i="15"/>
  <c r="V250" i="15"/>
  <c r="W250" i="15"/>
  <c r="T244" i="15"/>
  <c r="H601" i="15"/>
  <c r="R244" i="15"/>
  <c r="S244" i="15"/>
  <c r="Z135" i="15"/>
  <c r="AA135" i="15"/>
  <c r="I616" i="15"/>
  <c r="X259" i="15"/>
  <c r="Y259" i="15"/>
  <c r="R261" i="15"/>
  <c r="S261" i="15"/>
  <c r="Q261" i="15"/>
  <c r="U276" i="15"/>
  <c r="V276" i="15"/>
  <c r="W276" i="15"/>
  <c r="U279" i="15"/>
  <c r="V279" i="15"/>
  <c r="W279" i="15"/>
  <c r="T252" i="15"/>
  <c r="H609" i="15"/>
  <c r="AH83" i="15"/>
  <c r="W296" i="15"/>
  <c r="U296" i="15"/>
  <c r="X297" i="15"/>
  <c r="I654" i="15"/>
  <c r="U208" i="15"/>
  <c r="Y251" i="15"/>
  <c r="Z251" i="15"/>
  <c r="AA251" i="15"/>
  <c r="Z132" i="15"/>
  <c r="AA132" i="15"/>
  <c r="H572" i="15"/>
  <c r="T215" i="15"/>
  <c r="T206" i="15"/>
  <c r="U206" i="15"/>
  <c r="H563" i="15"/>
  <c r="U295" i="15"/>
  <c r="AH88" i="15"/>
  <c r="AI88" i="15"/>
  <c r="V273" i="15"/>
  <c r="W273" i="15"/>
  <c r="U273" i="15"/>
  <c r="Z123" i="15"/>
  <c r="AA123" i="15"/>
  <c r="I632" i="15"/>
  <c r="X275" i="15"/>
  <c r="U210" i="15"/>
  <c r="W210" i="15"/>
  <c r="X274" i="15"/>
  <c r="I631" i="15"/>
  <c r="X245" i="15"/>
  <c r="I602" i="15"/>
  <c r="V254" i="15"/>
  <c r="W254" i="15"/>
  <c r="U299" i="15"/>
  <c r="V299" i="15"/>
  <c r="W299" i="15"/>
  <c r="H606" i="15"/>
  <c r="T249" i="15"/>
  <c r="U249" i="15"/>
  <c r="AB260" i="15"/>
  <c r="AD260" i="15"/>
  <c r="AE260" i="15"/>
  <c r="J617" i="15"/>
  <c r="U278" i="15"/>
  <c r="W278" i="15"/>
  <c r="X279" i="15"/>
  <c r="I636" i="15"/>
  <c r="I660" i="15"/>
  <c r="X303" i="15"/>
  <c r="V213" i="15"/>
  <c r="W213" i="15"/>
  <c r="Z148" i="15"/>
  <c r="AA148" i="15"/>
  <c r="U207" i="15"/>
  <c r="V207" i="15"/>
  <c r="W207" i="15"/>
  <c r="X254" i="15"/>
  <c r="I611" i="15"/>
  <c r="X299" i="15"/>
  <c r="Y299" i="15"/>
  <c r="I656" i="15"/>
  <c r="I658" i="15"/>
  <c r="X301" i="15"/>
  <c r="I638" i="15"/>
  <c r="X281" i="15"/>
  <c r="I635" i="15"/>
  <c r="X278" i="15"/>
  <c r="Z278" i="15"/>
  <c r="AH89" i="15"/>
  <c r="AI89" i="15"/>
  <c r="I568" i="15"/>
  <c r="X211" i="15"/>
  <c r="Y211" i="15"/>
  <c r="X282" i="15"/>
  <c r="Y282" i="15"/>
  <c r="I639" i="15"/>
  <c r="AH84" i="15"/>
  <c r="AI84" i="15"/>
  <c r="V294" i="15"/>
  <c r="W294" i="15"/>
  <c r="Y256" i="15"/>
  <c r="Z256" i="15"/>
  <c r="AA256" i="15"/>
  <c r="AD121" i="15"/>
  <c r="AE121" i="15"/>
  <c r="I655" i="15"/>
  <c r="X298" i="15"/>
  <c r="X295" i="15"/>
  <c r="I652" i="15"/>
  <c r="X273" i="15"/>
  <c r="I630" i="15"/>
  <c r="I571" i="15"/>
  <c r="X214" i="15"/>
  <c r="AD125" i="15"/>
  <c r="AE125" i="15"/>
  <c r="AD242" i="15"/>
  <c r="AE242" i="15"/>
  <c r="U274" i="15"/>
  <c r="V274" i="15"/>
  <c r="W274" i="15"/>
  <c r="V212" i="15"/>
  <c r="W212" i="15"/>
  <c r="U212" i="15"/>
  <c r="X213" i="15"/>
  <c r="Y213" i="15"/>
  <c r="I570" i="15"/>
  <c r="J604" i="15"/>
  <c r="AB247" i="15"/>
  <c r="AD247" i="15"/>
  <c r="X207" i="15"/>
  <c r="I564" i="15"/>
  <c r="V300" i="15"/>
  <c r="W300" i="15"/>
  <c r="U280" i="15"/>
  <c r="V280" i="15"/>
  <c r="W280" i="15"/>
  <c r="U281" i="15"/>
  <c r="AD126" i="15"/>
  <c r="AE126" i="15"/>
  <c r="AA126" i="15"/>
  <c r="I659" i="15"/>
  <c r="X302" i="15"/>
  <c r="X208" i="15"/>
  <c r="I565" i="15"/>
  <c r="Z80" i="15"/>
  <c r="AA80" i="15"/>
  <c r="AD155" i="15"/>
  <c r="AE155" i="15"/>
  <c r="X210" i="15"/>
  <c r="Y210" i="15"/>
  <c r="I567" i="15"/>
  <c r="X253" i="15"/>
  <c r="I610" i="15"/>
  <c r="R252" i="15"/>
  <c r="S252" i="15"/>
  <c r="Q252" i="15"/>
  <c r="X296" i="15"/>
  <c r="Y296" i="15"/>
  <c r="I653" i="15"/>
  <c r="V302" i="15"/>
  <c r="W302" i="15"/>
  <c r="U302" i="15"/>
  <c r="V277" i="15"/>
  <c r="W277" i="15"/>
  <c r="U277" i="15"/>
  <c r="J608" i="15"/>
  <c r="AB251" i="15"/>
  <c r="AD251" i="15"/>
  <c r="AE251" i="15"/>
  <c r="R215" i="15"/>
  <c r="S215" i="15"/>
  <c r="Q215" i="15"/>
  <c r="R258" i="15"/>
  <c r="S258" i="15"/>
  <c r="Q258" i="15"/>
  <c r="I633" i="15"/>
  <c r="X276" i="15"/>
  <c r="Y276" i="15"/>
  <c r="I651" i="15"/>
  <c r="X294" i="15"/>
  <c r="U282" i="15"/>
  <c r="V282" i="15"/>
  <c r="W282" i="15"/>
  <c r="U297" i="15"/>
  <c r="I634" i="15"/>
  <c r="X277" i="15"/>
  <c r="Y277" i="15"/>
  <c r="AK246" i="15"/>
  <c r="AK257" i="15"/>
  <c r="AL257" i="15"/>
  <c r="AM257" i="15"/>
  <c r="AB256" i="15"/>
  <c r="AC256" i="15"/>
  <c r="J613" i="15"/>
  <c r="T258" i="15"/>
  <c r="V258" i="15"/>
  <c r="H615" i="15"/>
  <c r="Q206" i="15"/>
  <c r="V298" i="15"/>
  <c r="W298" i="15"/>
  <c r="U214" i="15"/>
  <c r="V214" i="15"/>
  <c r="W214" i="15"/>
  <c r="AF242" i="15"/>
  <c r="K599" i="15"/>
  <c r="Z119" i="15"/>
  <c r="AA119" i="15"/>
  <c r="U253" i="15"/>
  <c r="V253" i="15"/>
  <c r="W253" i="15"/>
  <c r="V245" i="15"/>
  <c r="W245" i="15"/>
  <c r="U245" i="15"/>
  <c r="AD82" i="15"/>
  <c r="AE82" i="15"/>
  <c r="X212" i="15"/>
  <c r="I569" i="15"/>
  <c r="AD175" i="15"/>
  <c r="AE175" i="15"/>
  <c r="AA120" i="15"/>
  <c r="Y247" i="15"/>
  <c r="Z247" i="15"/>
  <c r="AA247" i="15"/>
  <c r="X300" i="15"/>
  <c r="I657" i="15"/>
  <c r="U301" i="15"/>
  <c r="W301" i="15"/>
  <c r="Q249" i="15"/>
  <c r="R249" i="15"/>
  <c r="S249" i="15"/>
  <c r="AH87" i="15"/>
  <c r="AI87" i="15"/>
  <c r="I637" i="15"/>
  <c r="X280" i="15"/>
  <c r="Z260" i="15"/>
  <c r="AA260" i="15"/>
  <c r="Y260" i="15"/>
  <c r="AD153" i="15"/>
  <c r="AE153" i="15"/>
  <c r="AA153" i="15"/>
  <c r="U211" i="15"/>
  <c r="Z162" i="15"/>
  <c r="AA162" i="15"/>
  <c r="X292" i="15"/>
  <c r="Y292" i="15"/>
  <c r="I649" i="15"/>
  <c r="V284" i="15"/>
  <c r="W284" i="15"/>
  <c r="U284" i="15"/>
  <c r="X287" i="15"/>
  <c r="I644" i="15"/>
  <c r="I650" i="15"/>
  <c r="X293" i="15"/>
  <c r="H646" i="15"/>
  <c r="T289" i="15"/>
  <c r="U293" i="15"/>
  <c r="Z163" i="15"/>
  <c r="AA163" i="15"/>
  <c r="W163" i="15"/>
  <c r="S285" i="15"/>
  <c r="Q285" i="15"/>
  <c r="R286" i="15"/>
  <c r="S286" i="15"/>
  <c r="I648" i="15"/>
  <c r="X291" i="15"/>
  <c r="Z291" i="15"/>
  <c r="V292" i="15"/>
  <c r="W292" i="15"/>
  <c r="V287" i="15"/>
  <c r="W287" i="15"/>
  <c r="R290" i="15"/>
  <c r="S290" i="15"/>
  <c r="Q290" i="15"/>
  <c r="Z160" i="15"/>
  <c r="AA160" i="15"/>
  <c r="U291" i="15"/>
  <c r="V291" i="15"/>
  <c r="W291" i="15"/>
  <c r="I641" i="15"/>
  <c r="X284" i="15"/>
  <c r="T285" i="15"/>
  <c r="U285" i="15"/>
  <c r="H642" i="15"/>
  <c r="T286" i="15"/>
  <c r="H643" i="15"/>
  <c r="I645" i="15"/>
  <c r="X288" i="15"/>
  <c r="AD161" i="15"/>
  <c r="AE161" i="15"/>
  <c r="H647" i="15"/>
  <c r="T290" i="15"/>
  <c r="V290" i="15"/>
  <c r="W290" i="15"/>
  <c r="R289" i="15"/>
  <c r="S289" i="15"/>
  <c r="Q289" i="15"/>
  <c r="R241" i="15"/>
  <c r="S241" i="15"/>
  <c r="Q236" i="15"/>
  <c r="R236" i="15"/>
  <c r="S236" i="15"/>
  <c r="U239" i="15"/>
  <c r="Z96" i="15"/>
  <c r="AA96" i="15"/>
  <c r="AB233" i="15"/>
  <c r="AC233" i="15"/>
  <c r="J590" i="15"/>
  <c r="Z97" i="15"/>
  <c r="AA97" i="15"/>
  <c r="H585" i="15"/>
  <c r="T228" i="15"/>
  <c r="U228" i="15"/>
  <c r="Z100" i="15"/>
  <c r="AA100" i="15"/>
  <c r="H593" i="15"/>
  <c r="T236" i="15"/>
  <c r="R237" i="15"/>
  <c r="S237" i="15"/>
  <c r="I584" i="15"/>
  <c r="X227" i="15"/>
  <c r="Z102" i="15"/>
  <c r="AA102" i="15"/>
  <c r="S240" i="15"/>
  <c r="T232" i="15"/>
  <c r="V232" i="15"/>
  <c r="H589" i="15"/>
  <c r="T241" i="15"/>
  <c r="H598" i="15"/>
  <c r="H579" i="15"/>
  <c r="T222" i="15"/>
  <c r="V222" i="15"/>
  <c r="W222" i="15"/>
  <c r="Z111" i="15"/>
  <c r="AA111" i="15"/>
  <c r="I596" i="15"/>
  <c r="X239" i="15"/>
  <c r="AD109" i="15"/>
  <c r="AE109" i="15"/>
  <c r="H594" i="15"/>
  <c r="T237" i="15"/>
  <c r="V224" i="15"/>
  <c r="W224" i="15"/>
  <c r="Z112" i="15"/>
  <c r="AA112" i="15"/>
  <c r="R228" i="15"/>
  <c r="S228" i="15"/>
  <c r="Q228" i="15"/>
  <c r="Z104" i="15"/>
  <c r="AA104" i="15"/>
  <c r="I588" i="15"/>
  <c r="X231" i="15"/>
  <c r="Z231" i="15"/>
  <c r="Z233" i="15"/>
  <c r="AA233" i="15"/>
  <c r="Y233" i="15"/>
  <c r="I581" i="15"/>
  <c r="X224" i="15"/>
  <c r="AD105" i="15"/>
  <c r="AE105" i="15"/>
  <c r="T240" i="15"/>
  <c r="H597" i="15"/>
  <c r="I551" i="15"/>
  <c r="X194" i="15"/>
  <c r="V193" i="15"/>
  <c r="W193" i="15"/>
  <c r="I553" i="15"/>
  <c r="X196" i="15"/>
  <c r="Z196" i="15"/>
  <c r="U204" i="15"/>
  <c r="W199" i="15"/>
  <c r="U199" i="15"/>
  <c r="I552" i="15"/>
  <c r="X195" i="15"/>
  <c r="V194" i="15"/>
  <c r="W194" i="15"/>
  <c r="X201" i="15"/>
  <c r="Z201" i="15"/>
  <c r="AA201" i="15"/>
  <c r="I558" i="15"/>
  <c r="U192" i="15"/>
  <c r="I550" i="15"/>
  <c r="X193" i="15"/>
  <c r="Y193" i="15"/>
  <c r="X204" i="15"/>
  <c r="I561" i="15"/>
  <c r="X205" i="15"/>
  <c r="Y205" i="15"/>
  <c r="I562" i="15"/>
  <c r="V203" i="15"/>
  <c r="W203" i="15"/>
  <c r="V202" i="15"/>
  <c r="W202" i="15"/>
  <c r="U202" i="15"/>
  <c r="X199" i="15"/>
  <c r="Y199" i="15"/>
  <c r="I556" i="15"/>
  <c r="I555" i="15"/>
  <c r="X198" i="15"/>
  <c r="X200" i="15"/>
  <c r="Z200" i="15"/>
  <c r="I557" i="15"/>
  <c r="W197" i="15"/>
  <c r="I549" i="15"/>
  <c r="X192" i="15"/>
  <c r="Z192" i="15"/>
  <c r="AA192" i="15"/>
  <c r="X203" i="15"/>
  <c r="Z203" i="15"/>
  <c r="AA203" i="15"/>
  <c r="I560" i="15"/>
  <c r="X202" i="15"/>
  <c r="I559" i="15"/>
  <c r="V198" i="15"/>
  <c r="W198" i="15"/>
  <c r="U198" i="15"/>
  <c r="V201" i="15"/>
  <c r="W201" i="15"/>
  <c r="U201" i="15"/>
  <c r="U205" i="15"/>
  <c r="X191" i="15"/>
  <c r="Z191" i="15"/>
  <c r="AA191" i="15"/>
  <c r="I548" i="15"/>
  <c r="U200" i="15"/>
  <c r="V200" i="15"/>
  <c r="W200" i="15"/>
  <c r="I554" i="15"/>
  <c r="X197" i="15"/>
  <c r="Z197" i="15"/>
  <c r="AA197" i="15"/>
  <c r="T186" i="15"/>
  <c r="U186" i="15"/>
  <c r="H543" i="15"/>
  <c r="H573" i="15"/>
  <c r="H216" i="15"/>
  <c r="U196" i="15"/>
  <c r="V191" i="15"/>
  <c r="W191" i="15"/>
  <c r="U191" i="15"/>
  <c r="V195" i="15"/>
  <c r="W195" i="15"/>
  <c r="I591" i="15"/>
  <c r="X234" i="15"/>
  <c r="Y234" i="15"/>
  <c r="AD101" i="15"/>
  <c r="AE101" i="15"/>
  <c r="I592" i="15"/>
  <c r="X235" i="15"/>
  <c r="V230" i="15"/>
  <c r="W230" i="15"/>
  <c r="U230" i="15"/>
  <c r="U223" i="15"/>
  <c r="V223" i="15"/>
  <c r="W223" i="15"/>
  <c r="X221" i="15"/>
  <c r="I578" i="15"/>
  <c r="I595" i="15"/>
  <c r="X238" i="15"/>
  <c r="Y238" i="15"/>
  <c r="X226" i="15"/>
  <c r="I583" i="15"/>
  <c r="AD115" i="15"/>
  <c r="AE115" i="15"/>
  <c r="T220" i="15"/>
  <c r="U220" i="15"/>
  <c r="H577" i="15"/>
  <c r="X230" i="15"/>
  <c r="I587" i="15"/>
  <c r="I580" i="15"/>
  <c r="X223" i="15"/>
  <c r="Z223" i="15"/>
  <c r="AA223" i="15"/>
  <c r="R220" i="15"/>
  <c r="S220" i="15"/>
  <c r="U234" i="15"/>
  <c r="V234" i="15"/>
  <c r="W234" i="15"/>
  <c r="U238" i="15"/>
  <c r="W238" i="15"/>
  <c r="U235" i="15"/>
  <c r="V235" i="15"/>
  <c r="W235" i="15"/>
  <c r="U226" i="15"/>
  <c r="V226" i="15"/>
  <c r="W226" i="15"/>
  <c r="AD143" i="15"/>
  <c r="AE143" i="15"/>
  <c r="T272" i="15"/>
  <c r="H629" i="15"/>
  <c r="Z146" i="15"/>
  <c r="AA146" i="15"/>
  <c r="V271" i="15"/>
  <c r="W271" i="15"/>
  <c r="X271" i="15"/>
  <c r="I628" i="15"/>
  <c r="T270" i="15"/>
  <c r="H627" i="15"/>
  <c r="Q270" i="15"/>
  <c r="S270" i="15"/>
  <c r="I626" i="15"/>
  <c r="X269" i="15"/>
  <c r="U269" i="15"/>
  <c r="Q268" i="15"/>
  <c r="R268" i="15"/>
  <c r="S268" i="15"/>
  <c r="Z142" i="15"/>
  <c r="AA142" i="15"/>
  <c r="T268" i="15"/>
  <c r="U268" i="15"/>
  <c r="H625" i="15"/>
  <c r="G624" i="15"/>
  <c r="P267" i="15"/>
  <c r="R267" i="15"/>
  <c r="S267" i="15"/>
  <c r="H623" i="15"/>
  <c r="T266" i="15"/>
  <c r="I622" i="15"/>
  <c r="X265" i="15"/>
  <c r="W265" i="15"/>
  <c r="U265" i="15"/>
  <c r="H620" i="15"/>
  <c r="H640" i="15"/>
  <c r="H283" i="15"/>
  <c r="T283" i="15"/>
  <c r="T263" i="15"/>
  <c r="U263" i="15"/>
  <c r="AD169" i="15"/>
  <c r="AE169" i="15"/>
  <c r="K444" i="15"/>
  <c r="AF85" i="15"/>
  <c r="AG85" i="15"/>
  <c r="K510" i="15"/>
  <c r="AF151" i="15"/>
  <c r="AG151" i="15"/>
  <c r="AF149" i="15"/>
  <c r="K508" i="15"/>
  <c r="AF169" i="15"/>
  <c r="AG169" i="15"/>
  <c r="K528" i="15"/>
  <c r="L439" i="15"/>
  <c r="AJ80" i="15"/>
  <c r="AK80" i="15"/>
  <c r="AF176" i="15"/>
  <c r="AH176" i="15"/>
  <c r="AI176" i="15"/>
  <c r="K535" i="15"/>
  <c r="AC128" i="15"/>
  <c r="AD128" i="15"/>
  <c r="AE128" i="15"/>
  <c r="K513" i="15"/>
  <c r="AF154" i="15"/>
  <c r="AF172" i="15"/>
  <c r="K531" i="15"/>
  <c r="AF147" i="15"/>
  <c r="AG147" i="15"/>
  <c r="K506" i="15"/>
  <c r="AD174" i="15"/>
  <c r="AE174" i="15"/>
  <c r="K507" i="15"/>
  <c r="AF148" i="15"/>
  <c r="AG148" i="15"/>
  <c r="AF150" i="15"/>
  <c r="AH150" i="15"/>
  <c r="AI150" i="15"/>
  <c r="K509" i="15"/>
  <c r="K482" i="15"/>
  <c r="AF123" i="15"/>
  <c r="AG123" i="15"/>
  <c r="AB131" i="15"/>
  <c r="AC131" i="15"/>
  <c r="J490" i="15"/>
  <c r="AF132" i="15"/>
  <c r="AG132" i="15"/>
  <c r="K491" i="15"/>
  <c r="AF129" i="15"/>
  <c r="AG129" i="15"/>
  <c r="K488" i="15"/>
  <c r="AC122" i="15"/>
  <c r="AD122" i="15"/>
  <c r="AE122" i="15"/>
  <c r="AF133" i="15"/>
  <c r="AG133" i="15"/>
  <c r="K492" i="15"/>
  <c r="K530" i="15"/>
  <c r="AF171" i="15"/>
  <c r="AF130" i="15"/>
  <c r="K489" i="15"/>
  <c r="AC152" i="15"/>
  <c r="AD152" i="15"/>
  <c r="AE152" i="15"/>
  <c r="AD177" i="15"/>
  <c r="AE177" i="15"/>
  <c r="AD129" i="15"/>
  <c r="AE129" i="15"/>
  <c r="AD133" i="15"/>
  <c r="AE133" i="15"/>
  <c r="AF177" i="15"/>
  <c r="AG177" i="15"/>
  <c r="K536" i="15"/>
  <c r="AD86" i="15"/>
  <c r="AE86" i="15"/>
  <c r="AC151" i="15"/>
  <c r="AD151" i="15"/>
  <c r="AE151" i="15"/>
  <c r="AC149" i="15"/>
  <c r="AD149" i="15"/>
  <c r="AE149" i="15"/>
  <c r="AG116" i="15"/>
  <c r="AH116" i="15"/>
  <c r="AI116" i="15"/>
  <c r="AC117" i="15"/>
  <c r="AD117" i="15"/>
  <c r="AE117" i="15"/>
  <c r="AC170" i="15"/>
  <c r="K515" i="15"/>
  <c r="AF156" i="15"/>
  <c r="AG156" i="15"/>
  <c r="AJ87" i="15"/>
  <c r="AK87" i="15"/>
  <c r="L446" i="15"/>
  <c r="AF168" i="15"/>
  <c r="K527" i="15"/>
  <c r="AF128" i="15"/>
  <c r="K487" i="15"/>
  <c r="AC154" i="15"/>
  <c r="AD154" i="15"/>
  <c r="AE154" i="15"/>
  <c r="AJ127" i="15"/>
  <c r="AK127" i="15"/>
  <c r="L486" i="15"/>
  <c r="AD172" i="15"/>
  <c r="AE172" i="15"/>
  <c r="AC172" i="15"/>
  <c r="AF125" i="15"/>
  <c r="AG125" i="15"/>
  <c r="K484" i="15"/>
  <c r="K514" i="15"/>
  <c r="AF155" i="15"/>
  <c r="AG155" i="15"/>
  <c r="AF152" i="15"/>
  <c r="AG152" i="15"/>
  <c r="AH152" i="15"/>
  <c r="K511" i="15"/>
  <c r="K445" i="15"/>
  <c r="AF86" i="15"/>
  <c r="AG86" i="15"/>
  <c r="Y131" i="15"/>
  <c r="Z131" i="15"/>
  <c r="AA131" i="15"/>
  <c r="AB124" i="15"/>
  <c r="J483" i="15"/>
  <c r="AJ116" i="15"/>
  <c r="AK116" i="15"/>
  <c r="L475" i="15"/>
  <c r="AF117" i="15"/>
  <c r="AG117" i="15"/>
  <c r="K476" i="15"/>
  <c r="AF170" i="15"/>
  <c r="AH170" i="15"/>
  <c r="AI170" i="15"/>
  <c r="K529" i="15"/>
  <c r="AE176" i="15"/>
  <c r="K481" i="15"/>
  <c r="AF122" i="15"/>
  <c r="AG122" i="15"/>
  <c r="AG127" i="15"/>
  <c r="K494" i="15"/>
  <c r="AF135" i="15"/>
  <c r="K532" i="15"/>
  <c r="AF173" i="15"/>
  <c r="AC171" i="15"/>
  <c r="AD171" i="15"/>
  <c r="AE171" i="15"/>
  <c r="AF174" i="15"/>
  <c r="AG174" i="15"/>
  <c r="K533" i="15"/>
  <c r="AD130" i="15"/>
  <c r="AE130" i="15"/>
  <c r="K477" i="15"/>
  <c r="AF118" i="15"/>
  <c r="AG118" i="15"/>
  <c r="AC150" i="15"/>
  <c r="AJ120" i="15"/>
  <c r="AK120" i="15"/>
  <c r="L479" i="15"/>
  <c r="J525" i="15"/>
  <c r="AB166" i="15"/>
  <c r="AC166" i="15"/>
  <c r="AD166" i="15"/>
  <c r="AE166" i="15"/>
  <c r="K520" i="15"/>
  <c r="AF161" i="15"/>
  <c r="AG161" i="15"/>
  <c r="K524" i="15"/>
  <c r="AF165" i="15"/>
  <c r="AH165" i="15"/>
  <c r="AG165" i="15"/>
  <c r="AF163" i="15"/>
  <c r="AH163" i="15"/>
  <c r="AI163" i="15"/>
  <c r="K522" i="15"/>
  <c r="J519" i="15"/>
  <c r="AB160" i="15"/>
  <c r="AC160" i="15"/>
  <c r="Z158" i="15"/>
  <c r="AA158" i="15"/>
  <c r="AF167" i="15"/>
  <c r="AH167" i="15"/>
  <c r="AI167" i="15"/>
  <c r="AG167" i="15"/>
  <c r="K526" i="15"/>
  <c r="AB158" i="15"/>
  <c r="J517" i="15"/>
  <c r="AF164" i="15"/>
  <c r="AG164" i="15"/>
  <c r="K523" i="15"/>
  <c r="K518" i="15"/>
  <c r="AF159" i="15"/>
  <c r="AH159" i="15"/>
  <c r="AI159" i="15"/>
  <c r="Z166" i="15"/>
  <c r="AA166" i="15"/>
  <c r="K521" i="15"/>
  <c r="AF162" i="15"/>
  <c r="AH162" i="15"/>
  <c r="K501" i="15"/>
  <c r="AF142" i="15"/>
  <c r="AG142" i="15"/>
  <c r="AC145" i="15"/>
  <c r="AD145" i="15"/>
  <c r="AE145" i="15"/>
  <c r="K500" i="15"/>
  <c r="AF141" i="15"/>
  <c r="AG141" i="15"/>
  <c r="K504" i="15"/>
  <c r="AF145" i="15"/>
  <c r="K502" i="15"/>
  <c r="AF143" i="15"/>
  <c r="AG143" i="15"/>
  <c r="K505" i="15"/>
  <c r="AF146" i="15"/>
  <c r="AG146" i="15"/>
  <c r="K503" i="15"/>
  <c r="AF144" i="15"/>
  <c r="AG144" i="15"/>
  <c r="Z140" i="15"/>
  <c r="AA140" i="15"/>
  <c r="J499" i="15"/>
  <c r="AB140" i="15"/>
  <c r="AC140" i="15"/>
  <c r="AF139" i="15"/>
  <c r="K498" i="15"/>
  <c r="AF112" i="15"/>
  <c r="AG112" i="15"/>
  <c r="K471" i="15"/>
  <c r="J455" i="15"/>
  <c r="AB96" i="15"/>
  <c r="AC96" i="15"/>
  <c r="AF95" i="15"/>
  <c r="AH95" i="15"/>
  <c r="AI95" i="15"/>
  <c r="K454" i="15"/>
  <c r="AF105" i="15"/>
  <c r="AG105" i="15"/>
  <c r="K464" i="15"/>
  <c r="AF109" i="15"/>
  <c r="K468" i="15"/>
  <c r="AF102" i="15"/>
  <c r="AH102" i="15"/>
  <c r="AG102" i="15"/>
  <c r="K461" i="15"/>
  <c r="AF111" i="15"/>
  <c r="AG111" i="15"/>
  <c r="K470" i="15"/>
  <c r="AF104" i="15"/>
  <c r="AG104" i="15"/>
  <c r="K463" i="15"/>
  <c r="AC110" i="15"/>
  <c r="AD110" i="15"/>
  <c r="AE110" i="15"/>
  <c r="AB107" i="15"/>
  <c r="J466" i="15"/>
  <c r="AF99" i="15"/>
  <c r="K458" i="15"/>
  <c r="AF114" i="15"/>
  <c r="AG114" i="15"/>
  <c r="K473" i="15"/>
  <c r="Y113" i="15"/>
  <c r="Z113" i="15"/>
  <c r="AA113" i="15"/>
  <c r="AJ100" i="15"/>
  <c r="AK100" i="15"/>
  <c r="L459" i="15"/>
  <c r="AF97" i="15"/>
  <c r="K456" i="15"/>
  <c r="AF110" i="15"/>
  <c r="K469" i="15"/>
  <c r="AD99" i="15"/>
  <c r="AE99" i="15"/>
  <c r="AF101" i="15"/>
  <c r="AH101" i="15"/>
  <c r="AI101" i="15"/>
  <c r="AG101" i="15"/>
  <c r="K460" i="15"/>
  <c r="K465" i="15"/>
  <c r="AF106" i="15"/>
  <c r="AF108" i="15"/>
  <c r="K467" i="15"/>
  <c r="AF98" i="15"/>
  <c r="AG98" i="15"/>
  <c r="K457" i="15"/>
  <c r="AD95" i="15"/>
  <c r="AE95" i="15"/>
  <c r="AF94" i="15"/>
  <c r="AG94" i="15"/>
  <c r="K453" i="15"/>
  <c r="AD108" i="15"/>
  <c r="AE108" i="15"/>
  <c r="AC108" i="15"/>
  <c r="AB113" i="15"/>
  <c r="J472" i="15"/>
  <c r="AD98" i="15"/>
  <c r="AE98" i="15"/>
  <c r="AJ103" i="15"/>
  <c r="AK103" i="15"/>
  <c r="L462" i="15"/>
  <c r="AF115" i="15"/>
  <c r="K474" i="15"/>
  <c r="Y107" i="15"/>
  <c r="Z107" i="15"/>
  <c r="AA107" i="15"/>
  <c r="AF66" i="15"/>
  <c r="K425" i="15"/>
  <c r="AF65" i="15"/>
  <c r="K424" i="15"/>
  <c r="AF71" i="15"/>
  <c r="K430" i="15"/>
  <c r="AF70" i="15"/>
  <c r="K429" i="15"/>
  <c r="AC77" i="15"/>
  <c r="AD77" i="15"/>
  <c r="AE77" i="15"/>
  <c r="K434" i="15"/>
  <c r="AF75" i="15"/>
  <c r="AH75" i="15"/>
  <c r="AC79" i="15"/>
  <c r="AD79" i="15"/>
  <c r="AE79" i="15"/>
  <c r="K432" i="15"/>
  <c r="AF73" i="15"/>
  <c r="AG73" i="15"/>
  <c r="AF72" i="15"/>
  <c r="K431" i="15"/>
  <c r="AC66" i="15"/>
  <c r="AD66" i="15"/>
  <c r="AE66" i="15"/>
  <c r="AF68" i="15"/>
  <c r="AG68" i="15"/>
  <c r="K427" i="15"/>
  <c r="K436" i="15"/>
  <c r="AF77" i="15"/>
  <c r="AH77" i="15"/>
  <c r="AI77" i="15"/>
  <c r="AC78" i="15"/>
  <c r="AD78" i="15"/>
  <c r="AE78" i="15"/>
  <c r="AF79" i="15"/>
  <c r="K438" i="15"/>
  <c r="AC73" i="15"/>
  <c r="AD73" i="15"/>
  <c r="AE73" i="15"/>
  <c r="AC71" i="15"/>
  <c r="AD71" i="15"/>
  <c r="AE71" i="15"/>
  <c r="AF67" i="15"/>
  <c r="AG67" i="15"/>
  <c r="K426" i="15"/>
  <c r="AC68" i="15"/>
  <c r="AF74" i="15"/>
  <c r="AH74" i="15"/>
  <c r="AI74" i="15"/>
  <c r="AG74" i="15"/>
  <c r="K433" i="15"/>
  <c r="AD72" i="15"/>
  <c r="AE72" i="15"/>
  <c r="AF78" i="15"/>
  <c r="AG78" i="15"/>
  <c r="K437" i="15"/>
  <c r="K428" i="15"/>
  <c r="AF69" i="15"/>
  <c r="AG69" i="15"/>
  <c r="AF76" i="15"/>
  <c r="AH76" i="15"/>
  <c r="AI76" i="15"/>
  <c r="K435" i="15"/>
  <c r="J616" i="15"/>
  <c r="AB259" i="15"/>
  <c r="V255" i="15"/>
  <c r="W255" i="15"/>
  <c r="X244" i="15"/>
  <c r="Y244" i="15"/>
  <c r="I601" i="15"/>
  <c r="AD118" i="15"/>
  <c r="AE118" i="15"/>
  <c r="X255" i="15"/>
  <c r="I612" i="15"/>
  <c r="AD135" i="15"/>
  <c r="AE135" i="15"/>
  <c r="AD147" i="15"/>
  <c r="AE147" i="15"/>
  <c r="AB250" i="15"/>
  <c r="J607" i="15"/>
  <c r="X261" i="15"/>
  <c r="Y261" i="15"/>
  <c r="I618" i="15"/>
  <c r="Y250" i="15"/>
  <c r="AD134" i="15"/>
  <c r="AE134" i="15"/>
  <c r="AH153" i="15"/>
  <c r="AI153" i="15"/>
  <c r="Y280" i="15"/>
  <c r="Z280" i="15"/>
  <c r="AA280" i="15"/>
  <c r="AB300" i="15"/>
  <c r="AC300" i="15"/>
  <c r="J657" i="15"/>
  <c r="J569" i="15"/>
  <c r="AB212" i="15"/>
  <c r="AD212" i="15"/>
  <c r="AE212" i="15"/>
  <c r="AD119" i="15"/>
  <c r="AE119" i="15"/>
  <c r="X258" i="15"/>
  <c r="I615" i="15"/>
  <c r="Z277" i="15"/>
  <c r="AA277" i="15"/>
  <c r="AB276" i="15"/>
  <c r="J633" i="15"/>
  <c r="AC251" i="15"/>
  <c r="J653" i="15"/>
  <c r="AB296" i="15"/>
  <c r="J659" i="15"/>
  <c r="AB302" i="15"/>
  <c r="AH126" i="15"/>
  <c r="AI126" i="15"/>
  <c r="Y207" i="15"/>
  <c r="Z207" i="15"/>
  <c r="AA207" i="15"/>
  <c r="K604" i="15"/>
  <c r="AF247" i="15"/>
  <c r="AB295" i="15"/>
  <c r="AD295" i="15"/>
  <c r="AE295" i="15"/>
  <c r="J652" i="15"/>
  <c r="AL84" i="15"/>
  <c r="AM84" i="15"/>
  <c r="AB282" i="15"/>
  <c r="AD282" i="15"/>
  <c r="AE282" i="15"/>
  <c r="J639" i="15"/>
  <c r="Y278" i="15"/>
  <c r="AA278" i="15"/>
  <c r="Z299" i="15"/>
  <c r="AA299" i="15"/>
  <c r="J611" i="15"/>
  <c r="AB254" i="15"/>
  <c r="AD254" i="15"/>
  <c r="AE254" i="15"/>
  <c r="Y303" i="15"/>
  <c r="Z303" i="15"/>
  <c r="AA303" i="15"/>
  <c r="J636" i="15"/>
  <c r="AB279" i="15"/>
  <c r="AC260" i="15"/>
  <c r="X249" i="15"/>
  <c r="I606" i="15"/>
  <c r="AB274" i="15"/>
  <c r="AD274" i="15"/>
  <c r="AE274" i="15"/>
  <c r="J631" i="15"/>
  <c r="AD123" i="15"/>
  <c r="AE123" i="15"/>
  <c r="AD132" i="15"/>
  <c r="AE132" i="15"/>
  <c r="Z276" i="15"/>
  <c r="AA276" i="15"/>
  <c r="AD80" i="15"/>
  <c r="AE80" i="15"/>
  <c r="AH121" i="15"/>
  <c r="AI121" i="15"/>
  <c r="J568" i="15"/>
  <c r="AB211" i="15"/>
  <c r="J638" i="15"/>
  <c r="AB281" i="15"/>
  <c r="AD281" i="15"/>
  <c r="AE281" i="15"/>
  <c r="J656" i="15"/>
  <c r="AB299" i="15"/>
  <c r="AF260" i="15"/>
  <c r="K617" i="15"/>
  <c r="AB275" i="15"/>
  <c r="AC275" i="15"/>
  <c r="J632" i="15"/>
  <c r="V206" i="15"/>
  <c r="W206" i="15"/>
  <c r="U215" i="15"/>
  <c r="V215" i="15"/>
  <c r="W215" i="15"/>
  <c r="AH175" i="15"/>
  <c r="AI175" i="15"/>
  <c r="Z296" i="15"/>
  <c r="AA296" i="15"/>
  <c r="J567" i="15"/>
  <c r="AB210" i="15"/>
  <c r="AB208" i="15"/>
  <c r="J565" i="15"/>
  <c r="J564" i="15"/>
  <c r="AB207" i="15"/>
  <c r="AC207" i="15"/>
  <c r="AH177" i="15"/>
  <c r="AI177" i="15"/>
  <c r="K608" i="15"/>
  <c r="AF251" i="15"/>
  <c r="AB253" i="15"/>
  <c r="J610" i="15"/>
  <c r="Z210" i="15"/>
  <c r="AA210" i="15"/>
  <c r="Y302" i="15"/>
  <c r="Z302" i="15"/>
  <c r="AA302" i="15"/>
  <c r="AH129" i="15"/>
  <c r="AI129" i="15"/>
  <c r="AE247" i="15"/>
  <c r="J570" i="15"/>
  <c r="AB213" i="15"/>
  <c r="AD213" i="15"/>
  <c r="AE213" i="15"/>
  <c r="J571" i="15"/>
  <c r="AB214" i="15"/>
  <c r="AD214" i="15"/>
  <c r="AE214" i="15"/>
  <c r="Y295" i="15"/>
  <c r="Z295" i="15"/>
  <c r="AA295" i="15"/>
  <c r="AL89" i="15"/>
  <c r="AM89" i="15"/>
  <c r="J635" i="15"/>
  <c r="AB278" i="15"/>
  <c r="J658" i="15"/>
  <c r="AB301" i="15"/>
  <c r="Y275" i="15"/>
  <c r="Z275" i="15"/>
  <c r="AA275" i="15"/>
  <c r="I563" i="15"/>
  <c r="X206" i="15"/>
  <c r="Y206" i="15"/>
  <c r="AB297" i="15"/>
  <c r="J654" i="15"/>
  <c r="Y300" i="15"/>
  <c r="Z300" i="15"/>
  <c r="AA300" i="15"/>
  <c r="AH82" i="15"/>
  <c r="AI82" i="15"/>
  <c r="J651" i="15"/>
  <c r="AB294" i="15"/>
  <c r="AC294" i="15"/>
  <c r="AD156" i="15"/>
  <c r="AE156" i="15"/>
  <c r="AD120" i="15"/>
  <c r="AE120" i="15"/>
  <c r="AG242" i="15"/>
  <c r="AH242" i="15"/>
  <c r="AI242" i="15"/>
  <c r="AB277" i="15"/>
  <c r="AC277" i="15"/>
  <c r="J634" i="15"/>
  <c r="J637" i="15"/>
  <c r="AB280" i="15"/>
  <c r="Y212" i="15"/>
  <c r="Z212" i="15"/>
  <c r="AA212" i="15"/>
  <c r="AJ242" i="15"/>
  <c r="AL242" i="15"/>
  <c r="AM242" i="15"/>
  <c r="L599" i="15"/>
  <c r="U258" i="15"/>
  <c r="W258" i="15"/>
  <c r="AF256" i="15"/>
  <c r="AH256" i="15"/>
  <c r="AI256" i="15"/>
  <c r="K613" i="15"/>
  <c r="AH155" i="15"/>
  <c r="AI155" i="15"/>
  <c r="Z213" i="15"/>
  <c r="AA213" i="15"/>
  <c r="Z214" i="15"/>
  <c r="AA214" i="15"/>
  <c r="Y214" i="15"/>
  <c r="AB273" i="15"/>
  <c r="AC273" i="15"/>
  <c r="J630" i="15"/>
  <c r="J655" i="15"/>
  <c r="AB298" i="15"/>
  <c r="AH169" i="15"/>
  <c r="AI169" i="15"/>
  <c r="Z282" i="15"/>
  <c r="AA282" i="15"/>
  <c r="Z211" i="15"/>
  <c r="AA211" i="15"/>
  <c r="Y254" i="15"/>
  <c r="Z254" i="15"/>
  <c r="AA254" i="15"/>
  <c r="AD148" i="15"/>
  <c r="AE148" i="15"/>
  <c r="J660" i="15"/>
  <c r="AB303" i="15"/>
  <c r="AC303" i="15"/>
  <c r="Y279" i="15"/>
  <c r="Z279" i="15"/>
  <c r="AA279" i="15"/>
  <c r="AB245" i="15"/>
  <c r="J602" i="15"/>
  <c r="AL81" i="15"/>
  <c r="AM81" i="15"/>
  <c r="X215" i="15"/>
  <c r="Z215" i="15"/>
  <c r="AA215" i="15"/>
  <c r="I572" i="15"/>
  <c r="AL83" i="15"/>
  <c r="AM83" i="15"/>
  <c r="AI83" i="15"/>
  <c r="X252" i="15"/>
  <c r="Y252" i="15"/>
  <c r="I609" i="15"/>
  <c r="X290" i="15"/>
  <c r="I647" i="15"/>
  <c r="Y288" i="15"/>
  <c r="Z288" i="15"/>
  <c r="AA288" i="15"/>
  <c r="AB292" i="15"/>
  <c r="AC292" i="15"/>
  <c r="J649" i="15"/>
  <c r="X286" i="15"/>
  <c r="I643" i="15"/>
  <c r="AB288" i="15"/>
  <c r="J645" i="15"/>
  <c r="V286" i="15"/>
  <c r="W286" i="15"/>
  <c r="U286" i="15"/>
  <c r="V285" i="15"/>
  <c r="W285" i="15"/>
  <c r="AA291" i="15"/>
  <c r="Y291" i="15"/>
  <c r="Y287" i="15"/>
  <c r="Z287" i="15"/>
  <c r="AA287" i="15"/>
  <c r="J641" i="15"/>
  <c r="AB284" i="15"/>
  <c r="AD284" i="15"/>
  <c r="AE284" i="15"/>
  <c r="J648" i="15"/>
  <c r="AB291" i="15"/>
  <c r="AC291" i="15"/>
  <c r="Z292" i="15"/>
  <c r="AA292" i="15"/>
  <c r="Y284" i="15"/>
  <c r="Z284" i="15"/>
  <c r="AA284" i="15"/>
  <c r="AD163" i="15"/>
  <c r="AE163" i="15"/>
  <c r="U290" i="15"/>
  <c r="X285" i="15"/>
  <c r="Y285" i="15"/>
  <c r="I642" i="15"/>
  <c r="X289" i="15"/>
  <c r="I646" i="15"/>
  <c r="J650" i="15"/>
  <c r="AB293" i="15"/>
  <c r="AB287" i="15"/>
  <c r="AD287" i="15"/>
  <c r="AE287" i="15"/>
  <c r="J644" i="15"/>
  <c r="AD106" i="15"/>
  <c r="AE106" i="15"/>
  <c r="I597" i="15"/>
  <c r="X240" i="15"/>
  <c r="AB231" i="15"/>
  <c r="AC231" i="15"/>
  <c r="J588" i="15"/>
  <c r="AD112" i="15"/>
  <c r="AE112" i="15"/>
  <c r="J596" i="15"/>
  <c r="AB239" i="15"/>
  <c r="I598" i="15"/>
  <c r="X241" i="15"/>
  <c r="Z241" i="15"/>
  <c r="AA241" i="15"/>
  <c r="AD102" i="15"/>
  <c r="AE102" i="15"/>
  <c r="AB227" i="15"/>
  <c r="J584" i="15"/>
  <c r="X228" i="15"/>
  <c r="Z228" i="15"/>
  <c r="AA228" i="15"/>
  <c r="I585" i="15"/>
  <c r="AD233" i="15"/>
  <c r="AE233" i="15"/>
  <c r="I594" i="15"/>
  <c r="X237" i="15"/>
  <c r="X222" i="15"/>
  <c r="Y222" i="15"/>
  <c r="I579" i="15"/>
  <c r="I593" i="15"/>
  <c r="X236" i="15"/>
  <c r="AD97" i="15"/>
  <c r="AE97" i="15"/>
  <c r="K590" i="15"/>
  <c r="AF233" i="15"/>
  <c r="AD96" i="15"/>
  <c r="AE96" i="15"/>
  <c r="AA231" i="15"/>
  <c r="Y239" i="15"/>
  <c r="Z239" i="15"/>
  <c r="AA239" i="15"/>
  <c r="U232" i="15"/>
  <c r="W232" i="15"/>
  <c r="Y227" i="15"/>
  <c r="Z227" i="15"/>
  <c r="AA227" i="15"/>
  <c r="AD100" i="15"/>
  <c r="AE100" i="15"/>
  <c r="AH98" i="15"/>
  <c r="AI98" i="15"/>
  <c r="U240" i="15"/>
  <c r="V240" i="15"/>
  <c r="W240" i="15"/>
  <c r="J581" i="15"/>
  <c r="AB224" i="15"/>
  <c r="U222" i="15"/>
  <c r="U241" i="15"/>
  <c r="V241" i="15"/>
  <c r="W241" i="15"/>
  <c r="X232" i="15"/>
  <c r="I589" i="15"/>
  <c r="Y191" i="15"/>
  <c r="J560" i="15"/>
  <c r="AB203" i="15"/>
  <c r="AC203" i="15"/>
  <c r="AB193" i="15"/>
  <c r="AD193" i="15"/>
  <c r="AE193" i="15"/>
  <c r="J550" i="15"/>
  <c r="Y201" i="15"/>
  <c r="Z194" i="15"/>
  <c r="AA194" i="15"/>
  <c r="Y194" i="15"/>
  <c r="J559" i="15"/>
  <c r="AB202" i="15"/>
  <c r="Y200" i="15"/>
  <c r="AA200" i="15"/>
  <c r="AB191" i="15"/>
  <c r="J548" i="15"/>
  <c r="Z202" i="15"/>
  <c r="AA202" i="15"/>
  <c r="Y202" i="15"/>
  <c r="Z198" i="15"/>
  <c r="AA198" i="15"/>
  <c r="Y198" i="15"/>
  <c r="Z199" i="15"/>
  <c r="AA199" i="15"/>
  <c r="J551" i="15"/>
  <c r="AB194" i="15"/>
  <c r="AC194" i="15"/>
  <c r="J557" i="15"/>
  <c r="AB200" i="15"/>
  <c r="AC200" i="15"/>
  <c r="J561" i="15"/>
  <c r="AB204" i="15"/>
  <c r="J553" i="15"/>
  <c r="AB196" i="15"/>
  <c r="Y203" i="15"/>
  <c r="Z205" i="15"/>
  <c r="AA205" i="15"/>
  <c r="Y197" i="15"/>
  <c r="Y192" i="15"/>
  <c r="J558" i="15"/>
  <c r="AB201" i="15"/>
  <c r="AB197" i="15"/>
  <c r="J554" i="15"/>
  <c r="AB192" i="15"/>
  <c r="AD192" i="15"/>
  <c r="AE192" i="15"/>
  <c r="J549" i="15"/>
  <c r="AB198" i="15"/>
  <c r="J555" i="15"/>
  <c r="J556" i="15"/>
  <c r="AB199" i="15"/>
  <c r="AC199" i="15"/>
  <c r="AB205" i="15"/>
  <c r="J562" i="15"/>
  <c r="Y204" i="15"/>
  <c r="Z204" i="15"/>
  <c r="AA204" i="15"/>
  <c r="Z193" i="15"/>
  <c r="AA193" i="15"/>
  <c r="J552" i="15"/>
  <c r="AB195" i="15"/>
  <c r="AC195" i="15"/>
  <c r="AA196" i="15"/>
  <c r="Y196" i="15"/>
  <c r="Z238" i="15"/>
  <c r="AA238" i="15"/>
  <c r="Y221" i="15"/>
  <c r="Z221" i="15"/>
  <c r="AA221" i="15"/>
  <c r="Y235" i="15"/>
  <c r="Z235" i="15"/>
  <c r="AA235" i="15"/>
  <c r="Y223" i="15"/>
  <c r="AB226" i="15"/>
  <c r="AC226" i="15"/>
  <c r="J583" i="15"/>
  <c r="AB221" i="15"/>
  <c r="AD221" i="15"/>
  <c r="AE221" i="15"/>
  <c r="J578" i="15"/>
  <c r="J580" i="15"/>
  <c r="AB223" i="15"/>
  <c r="AD223" i="15"/>
  <c r="AE223" i="15"/>
  <c r="X220" i="15"/>
  <c r="Y220" i="15"/>
  <c r="I577" i="15"/>
  <c r="AB238" i="15"/>
  <c r="J595" i="15"/>
  <c r="AB235" i="15"/>
  <c r="AD235" i="15"/>
  <c r="AE235" i="15"/>
  <c r="J592" i="15"/>
  <c r="AB230" i="15"/>
  <c r="AC230" i="15"/>
  <c r="J587" i="15"/>
  <c r="J591" i="15"/>
  <c r="AB234" i="15"/>
  <c r="AC234" i="15"/>
  <c r="AH143" i="15"/>
  <c r="AI143" i="15"/>
  <c r="I629" i="15"/>
  <c r="X272" i="15"/>
  <c r="Z271" i="15"/>
  <c r="AA271" i="15"/>
  <c r="Y271" i="15"/>
  <c r="J628" i="15"/>
  <c r="AB271" i="15"/>
  <c r="AD144" i="15"/>
  <c r="AE144" i="15"/>
  <c r="X270" i="15"/>
  <c r="I627" i="15"/>
  <c r="Y269" i="15"/>
  <c r="Z269" i="15"/>
  <c r="AA269" i="15"/>
  <c r="J626" i="15"/>
  <c r="AB269" i="15"/>
  <c r="V268" i="15"/>
  <c r="W268" i="15"/>
  <c r="I625" i="15"/>
  <c r="X268" i="15"/>
  <c r="AD142" i="15"/>
  <c r="AE142" i="15"/>
  <c r="Q267" i="15"/>
  <c r="H624" i="15"/>
  <c r="T267" i="15"/>
  <c r="Z141" i="15"/>
  <c r="AA141" i="15"/>
  <c r="W141" i="15"/>
  <c r="AD140" i="15"/>
  <c r="AE140" i="15"/>
  <c r="X266" i="15"/>
  <c r="I623" i="15"/>
  <c r="AB265" i="15"/>
  <c r="J622" i="15"/>
  <c r="I620" i="15"/>
  <c r="X263" i="15"/>
  <c r="Y263" i="15"/>
  <c r="AD160" i="15"/>
  <c r="AE160" i="15"/>
  <c r="AH133" i="15"/>
  <c r="AI133" i="15"/>
  <c r="AH105" i="15"/>
  <c r="AI105" i="15"/>
  <c r="AH125" i="15"/>
  <c r="AI125" i="15"/>
  <c r="AH85" i="15"/>
  <c r="AI85" i="15"/>
  <c r="AJ174" i="15"/>
  <c r="AK174" i="15"/>
  <c r="L533" i="15"/>
  <c r="AG173" i="15"/>
  <c r="AH173" i="15"/>
  <c r="AI173" i="15"/>
  <c r="AJ86" i="15"/>
  <c r="AK86" i="15"/>
  <c r="L445" i="15"/>
  <c r="AJ128" i="15"/>
  <c r="L487" i="15"/>
  <c r="AJ133" i="15"/>
  <c r="AL133" i="15"/>
  <c r="AM133" i="15"/>
  <c r="L492" i="15"/>
  <c r="K490" i="15"/>
  <c r="AF131" i="15"/>
  <c r="AG131" i="15"/>
  <c r="AG154" i="15"/>
  <c r="AH154" i="15"/>
  <c r="AI154" i="15"/>
  <c r="AG176" i="15"/>
  <c r="AJ149" i="15"/>
  <c r="L508" i="15"/>
  <c r="AH174" i="15"/>
  <c r="AI174" i="15"/>
  <c r="L494" i="15"/>
  <c r="AJ135" i="15"/>
  <c r="AK135" i="15"/>
  <c r="AJ177" i="15"/>
  <c r="AL177" i="15"/>
  <c r="L536" i="15"/>
  <c r="L535" i="15"/>
  <c r="AJ176" i="15"/>
  <c r="AG149" i="15"/>
  <c r="AH149" i="15"/>
  <c r="AI149" i="15"/>
  <c r="AJ173" i="15"/>
  <c r="L532" i="15"/>
  <c r="AJ122" i="15"/>
  <c r="AL122" i="15"/>
  <c r="AM122" i="15"/>
  <c r="L481" i="15"/>
  <c r="AJ170" i="15"/>
  <c r="L529" i="15"/>
  <c r="AJ117" i="15"/>
  <c r="AL117" i="15"/>
  <c r="L476" i="15"/>
  <c r="AH86" i="15"/>
  <c r="AI86" i="15"/>
  <c r="L511" i="15"/>
  <c r="AJ152" i="15"/>
  <c r="L514" i="15"/>
  <c r="AJ155" i="15"/>
  <c r="AK155" i="15"/>
  <c r="AG168" i="15"/>
  <c r="AH168" i="15"/>
  <c r="AI168" i="15"/>
  <c r="L515" i="15"/>
  <c r="AJ156" i="15"/>
  <c r="AJ171" i="15"/>
  <c r="L530" i="15"/>
  <c r="AJ129" i="15"/>
  <c r="AK129" i="15"/>
  <c r="L488" i="15"/>
  <c r="AD131" i="15"/>
  <c r="AE131" i="15"/>
  <c r="L506" i="15"/>
  <c r="AJ147" i="15"/>
  <c r="AL147" i="15"/>
  <c r="AM147" i="15"/>
  <c r="AK147" i="15"/>
  <c r="L531" i="15"/>
  <c r="AJ172" i="15"/>
  <c r="AJ154" i="15"/>
  <c r="L513" i="15"/>
  <c r="L528" i="15"/>
  <c r="AJ169" i="15"/>
  <c r="AK169" i="15"/>
  <c r="AJ151" i="15"/>
  <c r="AL151" i="15"/>
  <c r="AM151" i="15"/>
  <c r="L510" i="15"/>
  <c r="AJ118" i="15"/>
  <c r="AK118" i="15"/>
  <c r="L477" i="15"/>
  <c r="AG170" i="15"/>
  <c r="AF124" i="15"/>
  <c r="AH124" i="15"/>
  <c r="AI124" i="15"/>
  <c r="K483" i="15"/>
  <c r="AI152" i="15"/>
  <c r="AJ125" i="15"/>
  <c r="AK125" i="15"/>
  <c r="L484" i="15"/>
  <c r="AG128" i="15"/>
  <c r="AH128" i="15"/>
  <c r="AI128" i="15"/>
  <c r="AJ168" i="15"/>
  <c r="L527" i="15"/>
  <c r="AH117" i="15"/>
  <c r="AI117" i="15"/>
  <c r="AJ130" i="15"/>
  <c r="AL130" i="15"/>
  <c r="AM130" i="15"/>
  <c r="L489" i="15"/>
  <c r="AJ132" i="15"/>
  <c r="AK132" i="15"/>
  <c r="L491" i="15"/>
  <c r="AJ123" i="15"/>
  <c r="AK123" i="15"/>
  <c r="L482" i="15"/>
  <c r="AJ150" i="15"/>
  <c r="AL150" i="15"/>
  <c r="AM150" i="15"/>
  <c r="L509" i="15"/>
  <c r="AJ148" i="15"/>
  <c r="AK148" i="15"/>
  <c r="L507" i="15"/>
  <c r="L444" i="15"/>
  <c r="AJ85" i="15"/>
  <c r="AL85" i="15"/>
  <c r="AF158" i="15"/>
  <c r="AH158" i="15"/>
  <c r="K517" i="15"/>
  <c r="AI165" i="15"/>
  <c r="L521" i="15"/>
  <c r="AJ162" i="15"/>
  <c r="AK162" i="15"/>
  <c r="L518" i="15"/>
  <c r="AJ159" i="15"/>
  <c r="AJ167" i="15"/>
  <c r="AK167" i="15"/>
  <c r="L526" i="15"/>
  <c r="L522" i="15"/>
  <c r="AJ163" i="15"/>
  <c r="AK163" i="15"/>
  <c r="L520" i="15"/>
  <c r="AJ161" i="15"/>
  <c r="AL161" i="15"/>
  <c r="L523" i="15"/>
  <c r="AJ164" i="15"/>
  <c r="AC158" i="15"/>
  <c r="AD158" i="15"/>
  <c r="AE158" i="15"/>
  <c r="K519" i="15"/>
  <c r="AF160" i="15"/>
  <c r="AH160" i="15"/>
  <c r="AF166" i="15"/>
  <c r="AH166" i="15"/>
  <c r="AI166" i="15"/>
  <c r="K525" i="15"/>
  <c r="L524" i="15"/>
  <c r="AJ165" i="15"/>
  <c r="AK165" i="15"/>
  <c r="K499" i="15"/>
  <c r="AF140" i="15"/>
  <c r="AH140" i="15"/>
  <c r="AI140" i="15"/>
  <c r="L505" i="15"/>
  <c r="AJ146" i="15"/>
  <c r="AK146" i="15"/>
  <c r="L502" i="15"/>
  <c r="AJ143" i="15"/>
  <c r="AK143" i="15"/>
  <c r="L500" i="15"/>
  <c r="AJ141" i="15"/>
  <c r="L503" i="15"/>
  <c r="AJ144" i="15"/>
  <c r="AK144" i="15"/>
  <c r="L504" i="15"/>
  <c r="AJ145" i="15"/>
  <c r="L498" i="15"/>
  <c r="AJ139" i="15"/>
  <c r="AG145" i="15"/>
  <c r="AH145" i="15"/>
  <c r="AI145" i="15"/>
  <c r="L501" i="15"/>
  <c r="AJ142" i="15"/>
  <c r="AK142" i="15"/>
  <c r="AF96" i="15"/>
  <c r="AG96" i="15"/>
  <c r="K455" i="15"/>
  <c r="AJ112" i="15"/>
  <c r="AK112" i="15"/>
  <c r="L471" i="15"/>
  <c r="AF113" i="15"/>
  <c r="K472" i="15"/>
  <c r="AJ94" i="15"/>
  <c r="AK94" i="15"/>
  <c r="L453" i="15"/>
  <c r="AG108" i="15"/>
  <c r="AH108" i="15"/>
  <c r="AI108" i="15"/>
  <c r="AG99" i="15"/>
  <c r="AH99" i="15"/>
  <c r="AI99" i="15"/>
  <c r="AF107" i="15"/>
  <c r="K466" i="15"/>
  <c r="AJ111" i="15"/>
  <c r="AK111" i="15"/>
  <c r="L470" i="15"/>
  <c r="AJ95" i="15"/>
  <c r="AK95" i="15"/>
  <c r="L454" i="15"/>
  <c r="AC113" i="15"/>
  <c r="AD113" i="15"/>
  <c r="AE113" i="15"/>
  <c r="AJ97" i="15"/>
  <c r="AL97" i="15"/>
  <c r="AM97" i="15"/>
  <c r="AK97" i="15"/>
  <c r="L456" i="15"/>
  <c r="L473" i="15"/>
  <c r="AJ114" i="15"/>
  <c r="AK114" i="15"/>
  <c r="L461" i="15"/>
  <c r="AJ102" i="15"/>
  <c r="AK102" i="15"/>
  <c r="AJ98" i="15"/>
  <c r="L457" i="15"/>
  <c r="AJ106" i="15"/>
  <c r="L465" i="15"/>
  <c r="L469" i="15"/>
  <c r="AJ110" i="15"/>
  <c r="L458" i="15"/>
  <c r="AJ99" i="15"/>
  <c r="AK99" i="15"/>
  <c r="AJ104" i="15"/>
  <c r="AL104" i="15"/>
  <c r="AM104" i="15"/>
  <c r="AK104" i="15"/>
  <c r="L463" i="15"/>
  <c r="AJ105" i="15"/>
  <c r="AK105" i="15"/>
  <c r="L464" i="15"/>
  <c r="AL103" i="15"/>
  <c r="AM103" i="15"/>
  <c r="AJ108" i="15"/>
  <c r="L467" i="15"/>
  <c r="AJ109" i="15"/>
  <c r="L468" i="15"/>
  <c r="L474" i="15"/>
  <c r="AJ115" i="15"/>
  <c r="AK115" i="15"/>
  <c r="AJ101" i="15"/>
  <c r="L460" i="15"/>
  <c r="AC107" i="15"/>
  <c r="AD107" i="15"/>
  <c r="AE107" i="15"/>
  <c r="AG95" i="15"/>
  <c r="AJ74" i="15"/>
  <c r="AK74" i="15"/>
  <c r="L433" i="15"/>
  <c r="AG79" i="15"/>
  <c r="AH79" i="15"/>
  <c r="AI79" i="15"/>
  <c r="AJ77" i="15"/>
  <c r="L436" i="15"/>
  <c r="AH68" i="15"/>
  <c r="AI68" i="15"/>
  <c r="AG72" i="15"/>
  <c r="AH72" i="15"/>
  <c r="AI72" i="15"/>
  <c r="L432" i="15"/>
  <c r="AJ73" i="15"/>
  <c r="AJ75" i="15"/>
  <c r="AK75" i="15"/>
  <c r="L434" i="15"/>
  <c r="AJ71" i="15"/>
  <c r="L430" i="15"/>
  <c r="AJ65" i="15"/>
  <c r="L424" i="15"/>
  <c r="AG76" i="15"/>
  <c r="AJ72" i="15"/>
  <c r="L431" i="15"/>
  <c r="AG75" i="15"/>
  <c r="AI75" i="15"/>
  <c r="AH69" i="15"/>
  <c r="AI69" i="15"/>
  <c r="L438" i="15"/>
  <c r="AJ79" i="15"/>
  <c r="AL79" i="15"/>
  <c r="AM79" i="15"/>
  <c r="AJ68" i="15"/>
  <c r="AL68" i="15"/>
  <c r="AM68" i="15"/>
  <c r="L427" i="15"/>
  <c r="AG71" i="15"/>
  <c r="AH71" i="15"/>
  <c r="AI71" i="15"/>
  <c r="AG66" i="15"/>
  <c r="AH66" i="15"/>
  <c r="AI66" i="15"/>
  <c r="AH67" i="15"/>
  <c r="AI67" i="15"/>
  <c r="AJ76" i="15"/>
  <c r="L435" i="15"/>
  <c r="AJ69" i="15"/>
  <c r="AL69" i="15"/>
  <c r="L428" i="15"/>
  <c r="L437" i="15"/>
  <c r="AJ78" i="15"/>
  <c r="AK78" i="15"/>
  <c r="L426" i="15"/>
  <c r="AJ67" i="15"/>
  <c r="AK67" i="15"/>
  <c r="AG77" i="15"/>
  <c r="L429" i="15"/>
  <c r="AJ70" i="15"/>
  <c r="L425" i="15"/>
  <c r="AJ66" i="15"/>
  <c r="AL66" i="15"/>
  <c r="Z261" i="15"/>
  <c r="AA261" i="15"/>
  <c r="AC250" i="15"/>
  <c r="AD250" i="15"/>
  <c r="AE250" i="15"/>
  <c r="K616" i="15"/>
  <c r="AF259" i="15"/>
  <c r="AG259" i="15"/>
  <c r="J618" i="15"/>
  <c r="AB261" i="15"/>
  <c r="AD261" i="15"/>
  <c r="AE261" i="15"/>
  <c r="AH147" i="15"/>
  <c r="AH118" i="15"/>
  <c r="AI118" i="15"/>
  <c r="AH134" i="15"/>
  <c r="AI134" i="15"/>
  <c r="AB244" i="15"/>
  <c r="AD244" i="15"/>
  <c r="AE244" i="15"/>
  <c r="J601" i="15"/>
  <c r="AF250" i="15"/>
  <c r="AG250" i="15"/>
  <c r="K607" i="15"/>
  <c r="J612" i="15"/>
  <c r="AB255" i="15"/>
  <c r="AC255" i="15"/>
  <c r="Z244" i="15"/>
  <c r="AA244" i="15"/>
  <c r="Z252" i="15"/>
  <c r="AA252" i="15"/>
  <c r="J572" i="15"/>
  <c r="AB215" i="15"/>
  <c r="AD303" i="15"/>
  <c r="AE303" i="15"/>
  <c r="AF273" i="15"/>
  <c r="AG273" i="15"/>
  <c r="K630" i="15"/>
  <c r="AD294" i="15"/>
  <c r="AE294" i="15"/>
  <c r="Z206" i="15"/>
  <c r="AA206" i="15"/>
  <c r="AF278" i="15"/>
  <c r="AH278" i="15"/>
  <c r="AI278" i="15"/>
  <c r="K635" i="15"/>
  <c r="AJ251" i="15"/>
  <c r="L608" i="15"/>
  <c r="K565" i="15"/>
  <c r="AF208" i="15"/>
  <c r="AC210" i="15"/>
  <c r="AD210" i="15"/>
  <c r="AE210" i="15"/>
  <c r="AL175" i="15"/>
  <c r="AM175" i="15"/>
  <c r="AG260" i="15"/>
  <c r="AH260" i="15"/>
  <c r="AI260" i="15"/>
  <c r="AF211" i="15"/>
  <c r="AG211" i="15"/>
  <c r="K568" i="15"/>
  <c r="AF254" i="15"/>
  <c r="AH254" i="15"/>
  <c r="AI254" i="15"/>
  <c r="K611" i="15"/>
  <c r="AF282" i="15"/>
  <c r="AG282" i="15"/>
  <c r="K639" i="15"/>
  <c r="AC295" i="15"/>
  <c r="AC302" i="15"/>
  <c r="AD302" i="15"/>
  <c r="AE302" i="15"/>
  <c r="K633" i="15"/>
  <c r="AF276" i="15"/>
  <c r="Z258" i="15"/>
  <c r="AA258" i="15"/>
  <c r="Y258" i="15"/>
  <c r="AH119" i="15"/>
  <c r="AI119" i="15"/>
  <c r="AB252" i="15"/>
  <c r="AD252" i="15"/>
  <c r="AE252" i="15"/>
  <c r="J609" i="15"/>
  <c r="AH120" i="15"/>
  <c r="AI120" i="15"/>
  <c r="AC301" i="15"/>
  <c r="AD301" i="15"/>
  <c r="AE301" i="15"/>
  <c r="AF214" i="15"/>
  <c r="K571" i="15"/>
  <c r="AF213" i="15"/>
  <c r="AH213" i="15"/>
  <c r="AI213" i="15"/>
  <c r="K570" i="15"/>
  <c r="AL129" i="15"/>
  <c r="AM129" i="15"/>
  <c r="AF253" i="15"/>
  <c r="AG253" i="15"/>
  <c r="K610" i="15"/>
  <c r="AD275" i="15"/>
  <c r="AE275" i="15"/>
  <c r="AJ260" i="15"/>
  <c r="L617" i="15"/>
  <c r="K638" i="15"/>
  <c r="AF281" i="15"/>
  <c r="AD211" i="15"/>
  <c r="AE211" i="15"/>
  <c r="AC211" i="15"/>
  <c r="AH80" i="15"/>
  <c r="AI80" i="15"/>
  <c r="Y249" i="15"/>
  <c r="Z249" i="15"/>
  <c r="AA249" i="15"/>
  <c r="AG247" i="15"/>
  <c r="AH247" i="15"/>
  <c r="AI247" i="15"/>
  <c r="AB258" i="15"/>
  <c r="J615" i="15"/>
  <c r="AF245" i="15"/>
  <c r="K602" i="15"/>
  <c r="AD207" i="15"/>
  <c r="AE207" i="15"/>
  <c r="Y215" i="15"/>
  <c r="AF303" i="15"/>
  <c r="K660" i="15"/>
  <c r="AC298" i="15"/>
  <c r="AD298" i="15"/>
  <c r="AE298" i="15"/>
  <c r="K637" i="15"/>
  <c r="AF280" i="15"/>
  <c r="AF277" i="15"/>
  <c r="AG277" i="15"/>
  <c r="K634" i="15"/>
  <c r="K654" i="15"/>
  <c r="AF297" i="15"/>
  <c r="AH297" i="15"/>
  <c r="AI297" i="15"/>
  <c r="AB206" i="15"/>
  <c r="J563" i="15"/>
  <c r="AC278" i="15"/>
  <c r="AD278" i="15"/>
  <c r="AE278" i="15"/>
  <c r="AG251" i="15"/>
  <c r="AH251" i="15"/>
  <c r="AI251" i="15"/>
  <c r="AF207" i="15"/>
  <c r="K564" i="15"/>
  <c r="AC208" i="15"/>
  <c r="AD208" i="15"/>
  <c r="AE208" i="15"/>
  <c r="AF275" i="15"/>
  <c r="K632" i="15"/>
  <c r="AF299" i="15"/>
  <c r="AG299" i="15"/>
  <c r="K656" i="15"/>
  <c r="AC281" i="15"/>
  <c r="K631" i="15"/>
  <c r="AF274" i="15"/>
  <c r="AG274" i="15"/>
  <c r="J606" i="15"/>
  <c r="AB249" i="15"/>
  <c r="AL126" i="15"/>
  <c r="AM126" i="15"/>
  <c r="AF302" i="15"/>
  <c r="K659" i="15"/>
  <c r="K653" i="15"/>
  <c r="AF296" i="15"/>
  <c r="AG296" i="15"/>
  <c r="AM85" i="15"/>
  <c r="AC212" i="15"/>
  <c r="AD300" i="15"/>
  <c r="AE300" i="15"/>
  <c r="AF298" i="15"/>
  <c r="K655" i="15"/>
  <c r="AJ256" i="15"/>
  <c r="AL256" i="15"/>
  <c r="AM256" i="15"/>
  <c r="L613" i="15"/>
  <c r="AF294" i="15"/>
  <c r="K651" i="15"/>
  <c r="AD273" i="15"/>
  <c r="AE273" i="15"/>
  <c r="AH148" i="15"/>
  <c r="AI148" i="15"/>
  <c r="AL169" i="15"/>
  <c r="AM169" i="15"/>
  <c r="AK242" i="15"/>
  <c r="AC280" i="15"/>
  <c r="AD280" i="15"/>
  <c r="AE280" i="15"/>
  <c r="AD277" i="15"/>
  <c r="AE277" i="15"/>
  <c r="AL82" i="15"/>
  <c r="AM82" i="15"/>
  <c r="AC297" i="15"/>
  <c r="AD297" i="15"/>
  <c r="AE297" i="15"/>
  <c r="AF301" i="15"/>
  <c r="K658" i="15"/>
  <c r="AC214" i="15"/>
  <c r="AM177" i="15"/>
  <c r="AF210" i="15"/>
  <c r="AH210" i="15"/>
  <c r="AI210" i="15"/>
  <c r="K567" i="15"/>
  <c r="AC299" i="15"/>
  <c r="AD299" i="15"/>
  <c r="AE299" i="15"/>
  <c r="AL121" i="15"/>
  <c r="AM121" i="15"/>
  <c r="AH123" i="15"/>
  <c r="AC274" i="15"/>
  <c r="AF279" i="15"/>
  <c r="K636" i="15"/>
  <c r="K652" i="15"/>
  <c r="AF295" i="15"/>
  <c r="AG295" i="15"/>
  <c r="AJ247" i="15"/>
  <c r="L604" i="15"/>
  <c r="AD276" i="15"/>
  <c r="AE276" i="15"/>
  <c r="AC276" i="15"/>
  <c r="AF212" i="15"/>
  <c r="K569" i="15"/>
  <c r="K657" i="15"/>
  <c r="AF300" i="15"/>
  <c r="AH300" i="15"/>
  <c r="AI300" i="15"/>
  <c r="AL153" i="15"/>
  <c r="AM153" i="15"/>
  <c r="AI162" i="15"/>
  <c r="AC287" i="15"/>
  <c r="AF291" i="15"/>
  <c r="AG291" i="15"/>
  <c r="K648" i="15"/>
  <c r="AD292" i="15"/>
  <c r="AE292" i="15"/>
  <c r="AH164" i="15"/>
  <c r="AI164" i="15"/>
  <c r="J646" i="15"/>
  <c r="AB289" i="15"/>
  <c r="AD289" i="15"/>
  <c r="AE289" i="15"/>
  <c r="AB285" i="15"/>
  <c r="AC285" i="15"/>
  <c r="J642" i="15"/>
  <c r="AF292" i="15"/>
  <c r="K649" i="15"/>
  <c r="K644" i="15"/>
  <c r="AF287" i="15"/>
  <c r="AC288" i="15"/>
  <c r="AD288" i="15"/>
  <c r="AE288" i="15"/>
  <c r="AF293" i="15"/>
  <c r="K650" i="15"/>
  <c r="AC284" i="15"/>
  <c r="AF288" i="15"/>
  <c r="AG288" i="15"/>
  <c r="K645" i="15"/>
  <c r="Z286" i="15"/>
  <c r="AA286" i="15"/>
  <c r="Y286" i="15"/>
  <c r="Z290" i="15"/>
  <c r="AA290" i="15"/>
  <c r="Y290" i="15"/>
  <c r="AD293" i="15"/>
  <c r="AE293" i="15"/>
  <c r="AC293" i="15"/>
  <c r="Y289" i="15"/>
  <c r="Z289" i="15"/>
  <c r="AA289" i="15"/>
  <c r="AD291" i="15"/>
  <c r="AE291" i="15"/>
  <c r="K641" i="15"/>
  <c r="AF284" i="15"/>
  <c r="AI160" i="15"/>
  <c r="AB286" i="15"/>
  <c r="J643" i="15"/>
  <c r="J647" i="15"/>
  <c r="AB290" i="15"/>
  <c r="AH104" i="15"/>
  <c r="AI104" i="15"/>
  <c r="AJ233" i="15"/>
  <c r="L590" i="15"/>
  <c r="J579" i="15"/>
  <c r="AB222" i="15"/>
  <c r="J598" i="15"/>
  <c r="AB241" i="15"/>
  <c r="AC241" i="15"/>
  <c r="AI102" i="15"/>
  <c r="AF224" i="15"/>
  <c r="AG224" i="15"/>
  <c r="K581" i="15"/>
  <c r="J593" i="15"/>
  <c r="AB236" i="15"/>
  <c r="J594" i="15"/>
  <c r="AB237" i="15"/>
  <c r="K596" i="15"/>
  <c r="AF239" i="15"/>
  <c r="AG239" i="15"/>
  <c r="J589" i="15"/>
  <c r="AB232" i="15"/>
  <c r="AD232" i="15"/>
  <c r="AE232" i="15"/>
  <c r="AB228" i="15"/>
  <c r="J585" i="15"/>
  <c r="AH96" i="15"/>
  <c r="AI96" i="15"/>
  <c r="AH111" i="15"/>
  <c r="AI111" i="15"/>
  <c r="AD231" i="15"/>
  <c r="AE231" i="15"/>
  <c r="AB240" i="15"/>
  <c r="J597" i="15"/>
  <c r="AC224" i="15"/>
  <c r="AD224" i="15"/>
  <c r="AE224" i="15"/>
  <c r="AH233" i="15"/>
  <c r="AI233" i="15"/>
  <c r="AG233" i="15"/>
  <c r="AD227" i="15"/>
  <c r="AE227" i="15"/>
  <c r="AC227" i="15"/>
  <c r="Y241" i="15"/>
  <c r="AD239" i="15"/>
  <c r="AE239" i="15"/>
  <c r="AC239" i="15"/>
  <c r="K588" i="15"/>
  <c r="AF231" i="15"/>
  <c r="AG231" i="15"/>
  <c r="Y232" i="15"/>
  <c r="Z232" i="15"/>
  <c r="AA232" i="15"/>
  <c r="Z236" i="15"/>
  <c r="AA236" i="15"/>
  <c r="Y236" i="15"/>
  <c r="Y237" i="15"/>
  <c r="Z237" i="15"/>
  <c r="AA237" i="15"/>
  <c r="Y228" i="15"/>
  <c r="K584" i="15"/>
  <c r="AF227" i="15"/>
  <c r="Y240" i="15"/>
  <c r="Z240" i="15"/>
  <c r="AA240" i="15"/>
  <c r="AF199" i="15"/>
  <c r="AG199" i="15"/>
  <c r="K556" i="15"/>
  <c r="AD196" i="15"/>
  <c r="AE196" i="15"/>
  <c r="AC196" i="15"/>
  <c r="K548" i="15"/>
  <c r="AF191" i="15"/>
  <c r="AG191" i="15"/>
  <c r="AF193" i="15"/>
  <c r="AH193" i="15"/>
  <c r="AI193" i="15"/>
  <c r="K550" i="15"/>
  <c r="AD197" i="15"/>
  <c r="AE197" i="15"/>
  <c r="AC197" i="15"/>
  <c r="AD200" i="15"/>
  <c r="AE200" i="15"/>
  <c r="AC198" i="15"/>
  <c r="AD198" i="15"/>
  <c r="AE198" i="15"/>
  <c r="AC202" i="15"/>
  <c r="AD202" i="15"/>
  <c r="AE202" i="15"/>
  <c r="AD195" i="15"/>
  <c r="AE195" i="15"/>
  <c r="K549" i="15"/>
  <c r="AF192" i="15"/>
  <c r="AG192" i="15"/>
  <c r="K557" i="15"/>
  <c r="AF200" i="15"/>
  <c r="AG200" i="15"/>
  <c r="K559" i="15"/>
  <c r="AF202" i="15"/>
  <c r="AF203" i="15"/>
  <c r="AH203" i="15"/>
  <c r="K560" i="15"/>
  <c r="K554" i="15"/>
  <c r="AF197" i="15"/>
  <c r="AG197" i="15"/>
  <c r="AD203" i="15"/>
  <c r="AE203" i="15"/>
  <c r="AD205" i="15"/>
  <c r="AE205" i="15"/>
  <c r="AC205" i="15"/>
  <c r="AC201" i="15"/>
  <c r="AD201" i="15"/>
  <c r="AE201" i="15"/>
  <c r="AF204" i="15"/>
  <c r="AG204" i="15"/>
  <c r="K561" i="15"/>
  <c r="K551" i="15"/>
  <c r="AF194" i="15"/>
  <c r="K552" i="15"/>
  <c r="AF195" i="15"/>
  <c r="AF205" i="15"/>
  <c r="K562" i="15"/>
  <c r="AD199" i="15"/>
  <c r="AE199" i="15"/>
  <c r="K555" i="15"/>
  <c r="AF198" i="15"/>
  <c r="AC192" i="15"/>
  <c r="AF201" i="15"/>
  <c r="K558" i="15"/>
  <c r="AF196" i="15"/>
  <c r="K553" i="15"/>
  <c r="AC204" i="15"/>
  <c r="AD204" i="15"/>
  <c r="AE204" i="15"/>
  <c r="AC191" i="15"/>
  <c r="AD191" i="15"/>
  <c r="AE191" i="15"/>
  <c r="AC193" i="15"/>
  <c r="K592" i="15"/>
  <c r="AF235" i="15"/>
  <c r="AF230" i="15"/>
  <c r="K587" i="15"/>
  <c r="AC223" i="15"/>
  <c r="AC238" i="15"/>
  <c r="AD238" i="15"/>
  <c r="AE238" i="15"/>
  <c r="J577" i="15"/>
  <c r="AB220" i="15"/>
  <c r="K583" i="15"/>
  <c r="AF226" i="15"/>
  <c r="AF234" i="15"/>
  <c r="K591" i="15"/>
  <c r="AD230" i="15"/>
  <c r="AE230" i="15"/>
  <c r="K595" i="15"/>
  <c r="AF238" i="15"/>
  <c r="AF223" i="15"/>
  <c r="K580" i="15"/>
  <c r="AF221" i="15"/>
  <c r="AH221" i="15"/>
  <c r="AG221" i="15"/>
  <c r="K578" i="15"/>
  <c r="AB272" i="15"/>
  <c r="AC272" i="15"/>
  <c r="J629" i="15"/>
  <c r="Y272" i="15"/>
  <c r="Z272" i="15"/>
  <c r="AA272" i="15"/>
  <c r="AH146" i="15"/>
  <c r="AI146" i="15"/>
  <c r="AD271" i="15"/>
  <c r="AE271" i="15"/>
  <c r="AC271" i="15"/>
  <c r="K628" i="15"/>
  <c r="AF271" i="15"/>
  <c r="AB270" i="15"/>
  <c r="J627" i="15"/>
  <c r="Y270" i="15"/>
  <c r="Z270" i="15"/>
  <c r="AA270" i="15"/>
  <c r="AH144" i="15"/>
  <c r="AI144" i="15"/>
  <c r="K626" i="15"/>
  <c r="AF269" i="15"/>
  <c r="AD269" i="15"/>
  <c r="AE269" i="15"/>
  <c r="AC269" i="15"/>
  <c r="AB268" i="15"/>
  <c r="AD268" i="15"/>
  <c r="J625" i="15"/>
  <c r="AH142" i="15"/>
  <c r="AI142" i="15"/>
  <c r="Y268" i="15"/>
  <c r="Z268" i="15"/>
  <c r="AA268" i="15"/>
  <c r="X267" i="15"/>
  <c r="Y267" i="15"/>
  <c r="I624" i="15"/>
  <c r="AD141" i="15"/>
  <c r="AE141" i="15"/>
  <c r="U267" i="15"/>
  <c r="V267" i="15"/>
  <c r="W267" i="15"/>
  <c r="AB266" i="15"/>
  <c r="AC266" i="15"/>
  <c r="AD266" i="15"/>
  <c r="AE266" i="15"/>
  <c r="J623" i="15"/>
  <c r="AC265" i="15"/>
  <c r="AD265" i="15"/>
  <c r="AE265" i="15"/>
  <c r="AF265" i="15"/>
  <c r="K622" i="15"/>
  <c r="J620" i="15"/>
  <c r="AL167" i="15"/>
  <c r="AM167" i="15"/>
  <c r="AL105" i="15"/>
  <c r="AM105" i="15"/>
  <c r="AL125" i="15"/>
  <c r="AM125" i="15"/>
  <c r="AL67" i="15"/>
  <c r="AM67" i="15"/>
  <c r="AG124" i="15"/>
  <c r="AK171" i="15"/>
  <c r="AL171" i="15"/>
  <c r="AM171" i="15"/>
  <c r="AM117" i="15"/>
  <c r="AK122" i="15"/>
  <c r="AK173" i="15"/>
  <c r="AL173" i="15"/>
  <c r="AM173" i="15"/>
  <c r="AK149" i="15"/>
  <c r="AL149" i="15"/>
  <c r="AM149" i="15"/>
  <c r="AH131" i="15"/>
  <c r="AI131" i="15"/>
  <c r="AK150" i="15"/>
  <c r="AL86" i="15"/>
  <c r="AM86" i="15"/>
  <c r="AK151" i="15"/>
  <c r="AK154" i="15"/>
  <c r="AL154" i="15"/>
  <c r="AM154" i="15"/>
  <c r="AK170" i="15"/>
  <c r="AL170" i="15"/>
  <c r="AM170" i="15"/>
  <c r="AK130" i="15"/>
  <c r="AK168" i="15"/>
  <c r="AL168" i="15"/>
  <c r="AM168" i="15"/>
  <c r="AJ124" i="15"/>
  <c r="L483" i="15"/>
  <c r="AK176" i="15"/>
  <c r="AL176" i="15"/>
  <c r="AM176" i="15"/>
  <c r="AJ131" i="15"/>
  <c r="AL131" i="15"/>
  <c r="AM131" i="15"/>
  <c r="L490" i="15"/>
  <c r="AK128" i="15"/>
  <c r="AL128" i="15"/>
  <c r="AM128" i="15"/>
  <c r="AL174" i="15"/>
  <c r="AM174" i="15"/>
  <c r="AG166" i="15"/>
  <c r="AM161" i="15"/>
  <c r="L519" i="15"/>
  <c r="AJ160" i="15"/>
  <c r="AK160" i="15"/>
  <c r="AG158" i="15"/>
  <c r="AI158" i="15"/>
  <c r="AL165" i="15"/>
  <c r="AM165" i="15"/>
  <c r="AJ166" i="15"/>
  <c r="L525" i="15"/>
  <c r="L517" i="15"/>
  <c r="AJ158" i="15"/>
  <c r="AK145" i="15"/>
  <c r="AL145" i="15"/>
  <c r="AM145" i="15"/>
  <c r="L499" i="15"/>
  <c r="AJ140" i="15"/>
  <c r="L455" i="15"/>
  <c r="AJ96" i="15"/>
  <c r="AK96" i="15"/>
  <c r="AL95" i="15"/>
  <c r="AM95" i="15"/>
  <c r="L466" i="15"/>
  <c r="AJ107" i="15"/>
  <c r="AK107" i="15"/>
  <c r="AJ113" i="15"/>
  <c r="AL113" i="15"/>
  <c r="AM113" i="15"/>
  <c r="L472" i="15"/>
  <c r="AG107" i="15"/>
  <c r="AH107" i="15"/>
  <c r="AI107" i="15"/>
  <c r="AG113" i="15"/>
  <c r="AH113" i="15"/>
  <c r="AI113" i="15"/>
  <c r="AK110" i="15"/>
  <c r="AL110" i="15"/>
  <c r="AM110" i="15"/>
  <c r="AL115" i="15"/>
  <c r="AM115" i="15"/>
  <c r="AL99" i="15"/>
  <c r="AM99" i="15"/>
  <c r="AM69" i="15"/>
  <c r="AK79" i="15"/>
  <c r="AK65" i="15"/>
  <c r="AL65" i="15"/>
  <c r="AM65" i="15"/>
  <c r="AL75" i="15"/>
  <c r="AM75" i="15"/>
  <c r="AK73" i="15"/>
  <c r="AL73" i="15"/>
  <c r="AM73" i="15"/>
  <c r="AL78" i="15"/>
  <c r="AM78" i="15"/>
  <c r="AM66" i="15"/>
  <c r="AK68" i="15"/>
  <c r="AK71" i="15"/>
  <c r="AL71" i="15"/>
  <c r="AM71" i="15"/>
  <c r="AL135" i="15"/>
  <c r="AM135" i="15"/>
  <c r="AJ250" i="15"/>
  <c r="AK250" i="15"/>
  <c r="L607" i="15"/>
  <c r="AL134" i="15"/>
  <c r="AM134" i="15"/>
  <c r="AI147" i="15"/>
  <c r="AF261" i="15"/>
  <c r="AG261" i="15"/>
  <c r="K618" i="15"/>
  <c r="AD255" i="15"/>
  <c r="AE255" i="15"/>
  <c r="AH259" i="15"/>
  <c r="AI259" i="15"/>
  <c r="AC261" i="15"/>
  <c r="AF255" i="15"/>
  <c r="K612" i="15"/>
  <c r="AH250" i="15"/>
  <c r="AI250" i="15"/>
  <c r="K601" i="15"/>
  <c r="AF244" i="15"/>
  <c r="AL118" i="15"/>
  <c r="AM118" i="15"/>
  <c r="L616" i="15"/>
  <c r="AJ259" i="15"/>
  <c r="AL259" i="15"/>
  <c r="AM259" i="15"/>
  <c r="AK247" i="15"/>
  <c r="AL247" i="15"/>
  <c r="AM247" i="15"/>
  <c r="L636" i="15"/>
  <c r="AJ279" i="15"/>
  <c r="AL148" i="15"/>
  <c r="AM148" i="15"/>
  <c r="L651" i="15"/>
  <c r="AJ294" i="15"/>
  <c r="AK294" i="15"/>
  <c r="AJ298" i="15"/>
  <c r="L655" i="15"/>
  <c r="L659" i="15"/>
  <c r="AJ302" i="15"/>
  <c r="AK302" i="15"/>
  <c r="AJ299" i="15"/>
  <c r="L656" i="15"/>
  <c r="L632" i="15"/>
  <c r="AJ275" i="15"/>
  <c r="AH207" i="15"/>
  <c r="AI207" i="15"/>
  <c r="AG207" i="15"/>
  <c r="L654" i="15"/>
  <c r="AJ297" i="15"/>
  <c r="AL297" i="15"/>
  <c r="AM297" i="15"/>
  <c r="AJ277" i="15"/>
  <c r="L634" i="15"/>
  <c r="L637" i="15"/>
  <c r="AJ280" i="15"/>
  <c r="AF258" i="15"/>
  <c r="K615" i="15"/>
  <c r="AJ253" i="15"/>
  <c r="L610" i="15"/>
  <c r="AG214" i="15"/>
  <c r="AH214" i="15"/>
  <c r="AI214" i="15"/>
  <c r="AL119" i="15"/>
  <c r="AM119" i="15"/>
  <c r="AG276" i="15"/>
  <c r="AH276" i="15"/>
  <c r="AI276" i="15"/>
  <c r="AJ282" i="15"/>
  <c r="AK282" i="15"/>
  <c r="L639" i="15"/>
  <c r="AJ254" i="15"/>
  <c r="L611" i="15"/>
  <c r="L635" i="15"/>
  <c r="AJ278" i="15"/>
  <c r="AK278" i="15"/>
  <c r="AJ300" i="15"/>
  <c r="L657" i="15"/>
  <c r="AI123" i="15"/>
  <c r="AL123" i="15"/>
  <c r="AM123" i="15"/>
  <c r="AJ210" i="15"/>
  <c r="AK210" i="15"/>
  <c r="L567" i="15"/>
  <c r="L564" i="15"/>
  <c r="AJ207" i="15"/>
  <c r="AL207" i="15"/>
  <c r="AM207" i="15"/>
  <c r="AF206" i="15"/>
  <c r="K563" i="15"/>
  <c r="AJ245" i="15"/>
  <c r="L602" i="15"/>
  <c r="L638" i="15"/>
  <c r="AJ281" i="15"/>
  <c r="AG213" i="15"/>
  <c r="AJ276" i="15"/>
  <c r="AK276" i="15"/>
  <c r="L633" i="15"/>
  <c r="AG278" i="15"/>
  <c r="K572" i="15"/>
  <c r="AF215" i="15"/>
  <c r="AH295" i="15"/>
  <c r="AI295" i="15"/>
  <c r="AF249" i="15"/>
  <c r="K606" i="15"/>
  <c r="AH299" i="15"/>
  <c r="AI299" i="15"/>
  <c r="L658" i="15"/>
  <c r="AJ301" i="15"/>
  <c r="AG298" i="15"/>
  <c r="AH298" i="15"/>
  <c r="AI298" i="15"/>
  <c r="AH274" i="15"/>
  <c r="AI274" i="15"/>
  <c r="AD206" i="15"/>
  <c r="AE206" i="15"/>
  <c r="AC206" i="15"/>
  <c r="AJ303" i="15"/>
  <c r="L660" i="15"/>
  <c r="AC252" i="15"/>
  <c r="AH211" i="15"/>
  <c r="AI211" i="15"/>
  <c r="AG208" i="15"/>
  <c r="AH208" i="15"/>
  <c r="AI208" i="15"/>
  <c r="AK251" i="15"/>
  <c r="AL251" i="15"/>
  <c r="AM251" i="15"/>
  <c r="L630" i="15"/>
  <c r="AJ273" i="15"/>
  <c r="AK273" i="15"/>
  <c r="AH296" i="15"/>
  <c r="AI296" i="15"/>
  <c r="AG300" i="15"/>
  <c r="AJ212" i="15"/>
  <c r="AL212" i="15"/>
  <c r="AM212" i="15"/>
  <c r="L569" i="15"/>
  <c r="AJ295" i="15"/>
  <c r="AK295" i="15"/>
  <c r="L652" i="15"/>
  <c r="AL132" i="15"/>
  <c r="AM132" i="15"/>
  <c r="AG210" i="15"/>
  <c r="AK256" i="15"/>
  <c r="L653" i="15"/>
  <c r="AJ296" i="15"/>
  <c r="AC249" i="15"/>
  <c r="AD249" i="15"/>
  <c r="AE249" i="15"/>
  <c r="AJ274" i="15"/>
  <c r="AK274" i="15"/>
  <c r="L631" i="15"/>
  <c r="AG297" i="15"/>
  <c r="AG280" i="15"/>
  <c r="AH280" i="15"/>
  <c r="AI280" i="15"/>
  <c r="AC258" i="15"/>
  <c r="AD258" i="15"/>
  <c r="AE258" i="15"/>
  <c r="AL80" i="15"/>
  <c r="AM80" i="15"/>
  <c r="AH281" i="15"/>
  <c r="AI281" i="15"/>
  <c r="AG281" i="15"/>
  <c r="AK260" i="15"/>
  <c r="AL260" i="15"/>
  <c r="AM260" i="15"/>
  <c r="AH253" i="15"/>
  <c r="AI253" i="15"/>
  <c r="L570" i="15"/>
  <c r="AJ213" i="15"/>
  <c r="L571" i="15"/>
  <c r="AJ214" i="15"/>
  <c r="AL120" i="15"/>
  <c r="AM120" i="15"/>
  <c r="AF252" i="15"/>
  <c r="AG252" i="15"/>
  <c r="K609" i="15"/>
  <c r="AG254" i="15"/>
  <c r="L568" i="15"/>
  <c r="AJ211" i="15"/>
  <c r="AJ208" i="15"/>
  <c r="AK208" i="15"/>
  <c r="L565" i="15"/>
  <c r="AD215" i="15"/>
  <c r="AE215" i="15"/>
  <c r="AC215" i="15"/>
  <c r="AF286" i="15"/>
  <c r="AG286" i="15"/>
  <c r="K643" i="15"/>
  <c r="K647" i="15"/>
  <c r="AF290" i="15"/>
  <c r="AG290" i="15"/>
  <c r="AC289" i="15"/>
  <c r="L648" i="15"/>
  <c r="AJ291" i="15"/>
  <c r="AD286" i="15"/>
  <c r="AE286" i="15"/>
  <c r="AC286" i="15"/>
  <c r="AG284" i="15"/>
  <c r="AH284" i="15"/>
  <c r="AI284" i="15"/>
  <c r="AH288" i="15"/>
  <c r="AI288" i="15"/>
  <c r="L644" i="15"/>
  <c r="AJ287" i="15"/>
  <c r="AK287" i="15"/>
  <c r="AH291" i="15"/>
  <c r="AI291" i="15"/>
  <c r="AL163" i="15"/>
  <c r="AM163" i="15"/>
  <c r="AJ292" i="15"/>
  <c r="L649" i="15"/>
  <c r="AD285" i="15"/>
  <c r="AE285" i="15"/>
  <c r="AF289" i="15"/>
  <c r="AG289" i="15"/>
  <c r="K646" i="15"/>
  <c r="L641" i="15"/>
  <c r="AJ284" i="15"/>
  <c r="AJ288" i="15"/>
  <c r="L645" i="15"/>
  <c r="L650" i="15"/>
  <c r="AJ293" i="15"/>
  <c r="AL293" i="15"/>
  <c r="AM293" i="15"/>
  <c r="AH287" i="15"/>
  <c r="AI287" i="15"/>
  <c r="AG287" i="15"/>
  <c r="K642" i="15"/>
  <c r="AF285" i="15"/>
  <c r="AH285" i="15"/>
  <c r="AI285" i="15"/>
  <c r="AL100" i="15"/>
  <c r="AM100" i="15"/>
  <c r="AH231" i="15"/>
  <c r="AI231" i="15"/>
  <c r="AC240" i="15"/>
  <c r="AD240" i="15"/>
  <c r="AE240" i="15"/>
  <c r="AH239" i="15"/>
  <c r="AI239" i="15"/>
  <c r="K593" i="15"/>
  <c r="AF236" i="15"/>
  <c r="AH236" i="15"/>
  <c r="L581" i="15"/>
  <c r="AJ224" i="15"/>
  <c r="AL224" i="15"/>
  <c r="AM224" i="15"/>
  <c r="AL114" i="15"/>
  <c r="AM114" i="15"/>
  <c r="K598" i="15"/>
  <c r="AF241" i="15"/>
  <c r="AG241" i="15"/>
  <c r="K597" i="15"/>
  <c r="AF240" i="15"/>
  <c r="AC228" i="15"/>
  <c r="AD228" i="15"/>
  <c r="AE228" i="15"/>
  <c r="K594" i="15"/>
  <c r="AF237" i="15"/>
  <c r="AH224" i="15"/>
  <c r="AI224" i="15"/>
  <c r="K579" i="15"/>
  <c r="AF222" i="15"/>
  <c r="AK233" i="15"/>
  <c r="AL233" i="15"/>
  <c r="AM233" i="15"/>
  <c r="AG227" i="15"/>
  <c r="AH227" i="15"/>
  <c r="AI227" i="15"/>
  <c r="AJ231" i="15"/>
  <c r="AK231" i="15"/>
  <c r="L588" i="15"/>
  <c r="AL96" i="15"/>
  <c r="AM96" i="15"/>
  <c r="AF228" i="15"/>
  <c r="K585" i="15"/>
  <c r="AJ239" i="15"/>
  <c r="L596" i="15"/>
  <c r="AC236" i="15"/>
  <c r="AD236" i="15"/>
  <c r="AE236" i="15"/>
  <c r="AL102" i="15"/>
  <c r="AM102" i="15"/>
  <c r="AC222" i="15"/>
  <c r="AD222" i="15"/>
  <c r="AE222" i="15"/>
  <c r="L584" i="15"/>
  <c r="AJ227" i="15"/>
  <c r="AF232" i="15"/>
  <c r="K589" i="15"/>
  <c r="AL74" i="15"/>
  <c r="AM74" i="15"/>
  <c r="AJ197" i="15"/>
  <c r="L554" i="15"/>
  <c r="AH200" i="15"/>
  <c r="AI200" i="15"/>
  <c r="L553" i="15"/>
  <c r="AJ196" i="15"/>
  <c r="L561" i="15"/>
  <c r="AJ204" i="15"/>
  <c r="AL204" i="15"/>
  <c r="AM204" i="15"/>
  <c r="AH192" i="15"/>
  <c r="AI192" i="15"/>
  <c r="AG194" i="15"/>
  <c r="AH194" i="15"/>
  <c r="AI194" i="15"/>
  <c r="AJ193" i="15"/>
  <c r="L550" i="15"/>
  <c r="L556" i="15"/>
  <c r="AJ199" i="15"/>
  <c r="L559" i="15"/>
  <c r="AJ202" i="15"/>
  <c r="AL202" i="15"/>
  <c r="AM202" i="15"/>
  <c r="AJ198" i="15"/>
  <c r="L555" i="15"/>
  <c r="L552" i="15"/>
  <c r="AJ195" i="15"/>
  <c r="AK195" i="15"/>
  <c r="AG193" i="15"/>
  <c r="L562" i="15"/>
  <c r="AJ205" i="15"/>
  <c r="AK205" i="15"/>
  <c r="AI203" i="15"/>
  <c r="AG203" i="15"/>
  <c r="AG196" i="15"/>
  <c r="AH196" i="15"/>
  <c r="AI196" i="15"/>
  <c r="L558" i="15"/>
  <c r="AJ201" i="15"/>
  <c r="AK201" i="15"/>
  <c r="AJ194" i="15"/>
  <c r="L551" i="15"/>
  <c r="AH204" i="15"/>
  <c r="AI204" i="15"/>
  <c r="L560" i="15"/>
  <c r="AJ203" i="15"/>
  <c r="AK203" i="15"/>
  <c r="AJ200" i="15"/>
  <c r="L557" i="15"/>
  <c r="L549" i="15"/>
  <c r="AJ192" i="15"/>
  <c r="AL192" i="15"/>
  <c r="AM192" i="15"/>
  <c r="AJ191" i="15"/>
  <c r="L548" i="15"/>
  <c r="AH199" i="15"/>
  <c r="AI199" i="15"/>
  <c r="AJ221" i="15"/>
  <c r="L578" i="15"/>
  <c r="AJ226" i="15"/>
  <c r="L583" i="15"/>
  <c r="AG235" i="15"/>
  <c r="AH235" i="15"/>
  <c r="AI235" i="15"/>
  <c r="AI221" i="15"/>
  <c r="AJ223" i="15"/>
  <c r="L580" i="15"/>
  <c r="AJ234" i="15"/>
  <c r="AK234" i="15"/>
  <c r="L591" i="15"/>
  <c r="AJ238" i="15"/>
  <c r="AL238" i="15"/>
  <c r="L595" i="15"/>
  <c r="AG234" i="15"/>
  <c r="AH234" i="15"/>
  <c r="AI234" i="15"/>
  <c r="AJ230" i="15"/>
  <c r="L587" i="15"/>
  <c r="AL94" i="15"/>
  <c r="AM94" i="15"/>
  <c r="AF220" i="15"/>
  <c r="K577" i="15"/>
  <c r="AG230" i="15"/>
  <c r="AH230" i="15"/>
  <c r="AI230" i="15"/>
  <c r="AG223" i="15"/>
  <c r="AH223" i="15"/>
  <c r="AI223" i="15"/>
  <c r="AJ235" i="15"/>
  <c r="AK235" i="15"/>
  <c r="L592" i="15"/>
  <c r="K629" i="15"/>
  <c r="AF272" i="15"/>
  <c r="AL146" i="15"/>
  <c r="AM146" i="15"/>
  <c r="AD272" i="15"/>
  <c r="AE272" i="15"/>
  <c r="L628" i="15"/>
  <c r="AJ271" i="15"/>
  <c r="AL144" i="15"/>
  <c r="AM144" i="15"/>
  <c r="K627" i="15"/>
  <c r="AF270" i="15"/>
  <c r="AJ269" i="15"/>
  <c r="L626" i="15"/>
  <c r="AF268" i="15"/>
  <c r="AG268" i="15"/>
  <c r="K625" i="15"/>
  <c r="AL142" i="15"/>
  <c r="AM142" i="15"/>
  <c r="AC268" i="15"/>
  <c r="AE268" i="15"/>
  <c r="AH141" i="15"/>
  <c r="AI141" i="15"/>
  <c r="J624" i="15"/>
  <c r="AB267" i="15"/>
  <c r="AF266" i="15"/>
  <c r="K623" i="15"/>
  <c r="AJ265" i="15"/>
  <c r="AK265" i="15"/>
  <c r="AL265" i="15"/>
  <c r="AM265" i="15"/>
  <c r="L622" i="15"/>
  <c r="AG265" i="15"/>
  <c r="AH265" i="15"/>
  <c r="AI265" i="15"/>
  <c r="AK124" i="15"/>
  <c r="AL124" i="15"/>
  <c r="AM124" i="15"/>
  <c r="AK131" i="15"/>
  <c r="AL160" i="15"/>
  <c r="AM160" i="15"/>
  <c r="AK166" i="15"/>
  <c r="AL166" i="15"/>
  <c r="AM166" i="15"/>
  <c r="AL107" i="15"/>
  <c r="AM107" i="15"/>
  <c r="AJ255" i="15"/>
  <c r="AL255" i="15"/>
  <c r="AM255" i="15"/>
  <c r="L612" i="15"/>
  <c r="AK259" i="15"/>
  <c r="AL250" i="15"/>
  <c r="AM250" i="15"/>
  <c r="AJ244" i="15"/>
  <c r="L601" i="15"/>
  <c r="AJ261" i="15"/>
  <c r="L618" i="15"/>
  <c r="AK212" i="15"/>
  <c r="AL273" i="15"/>
  <c r="AM273" i="15"/>
  <c r="AJ249" i="15"/>
  <c r="L606" i="15"/>
  <c r="AG215" i="15"/>
  <c r="AH215" i="15"/>
  <c r="AI215" i="15"/>
  <c r="AK281" i="15"/>
  <c r="AL281" i="15"/>
  <c r="AM281" i="15"/>
  <c r="AJ206" i="15"/>
  <c r="L563" i="15"/>
  <c r="AL210" i="15"/>
  <c r="AM210" i="15"/>
  <c r="AK254" i="15"/>
  <c r="AL254" i="15"/>
  <c r="AM254" i="15"/>
  <c r="AK297" i="15"/>
  <c r="AL275" i="15"/>
  <c r="AM275" i="15"/>
  <c r="AK275" i="15"/>
  <c r="AL302" i="15"/>
  <c r="AM302" i="15"/>
  <c r="AL294" i="15"/>
  <c r="AM294" i="15"/>
  <c r="AH252" i="15"/>
  <c r="AI252" i="15"/>
  <c r="AK296" i="15"/>
  <c r="AL296" i="15"/>
  <c r="AM296" i="15"/>
  <c r="AL276" i="15"/>
  <c r="AM276" i="15"/>
  <c r="AK207" i="15"/>
  <c r="AL278" i="15"/>
  <c r="AM278" i="15"/>
  <c r="AJ258" i="15"/>
  <c r="AK258" i="15"/>
  <c r="L615" i="15"/>
  <c r="AJ252" i="15"/>
  <c r="AL252" i="15"/>
  <c r="AM252" i="15"/>
  <c r="L609" i="15"/>
  <c r="AL274" i="15"/>
  <c r="AM274" i="15"/>
  <c r="AL295" i="15"/>
  <c r="AM295" i="15"/>
  <c r="AL282" i="15"/>
  <c r="AM282" i="15"/>
  <c r="AL208" i="15"/>
  <c r="AM208" i="15"/>
  <c r="AK213" i="15"/>
  <c r="AL213" i="15"/>
  <c r="AM213" i="15"/>
  <c r="AG249" i="15"/>
  <c r="AH249" i="15"/>
  <c r="AI249" i="15"/>
  <c r="L572" i="15"/>
  <c r="AJ215" i="15"/>
  <c r="AH206" i="15"/>
  <c r="AI206" i="15"/>
  <c r="AG206" i="15"/>
  <c r="L642" i="15"/>
  <c r="AJ285" i="15"/>
  <c r="AK285" i="15"/>
  <c r="AL292" i="15"/>
  <c r="AM292" i="15"/>
  <c r="AK292" i="15"/>
  <c r="AJ290" i="15"/>
  <c r="AL290" i="15"/>
  <c r="L647" i="15"/>
  <c r="L646" i="15"/>
  <c r="AJ289" i="15"/>
  <c r="AK289" i="15"/>
  <c r="L643" i="15"/>
  <c r="AJ286" i="15"/>
  <c r="AL286" i="15"/>
  <c r="AM286" i="15"/>
  <c r="AG285" i="15"/>
  <c r="AL287" i="15"/>
  <c r="AM287" i="15"/>
  <c r="AH290" i="15"/>
  <c r="AI290" i="15"/>
  <c r="AK293" i="15"/>
  <c r="AK284" i="15"/>
  <c r="AL284" i="15"/>
  <c r="AM284" i="15"/>
  <c r="AH286" i="15"/>
  <c r="AI286" i="15"/>
  <c r="AJ232" i="15"/>
  <c r="AL232" i="15"/>
  <c r="AM232" i="15"/>
  <c r="L589" i="15"/>
  <c r="AL239" i="15"/>
  <c r="AM239" i="15"/>
  <c r="AK239" i="15"/>
  <c r="AJ240" i="15"/>
  <c r="AL240" i="15"/>
  <c r="AM240" i="15"/>
  <c r="L597" i="15"/>
  <c r="AK224" i="15"/>
  <c r="AJ236" i="15"/>
  <c r="L593" i="15"/>
  <c r="AG228" i="15"/>
  <c r="AH228" i="15"/>
  <c r="AI228" i="15"/>
  <c r="AJ237" i="15"/>
  <c r="L594" i="15"/>
  <c r="AJ241" i="15"/>
  <c r="L598" i="15"/>
  <c r="AK227" i="15"/>
  <c r="AL227" i="15"/>
  <c r="AM227" i="15"/>
  <c r="AJ228" i="15"/>
  <c r="L585" i="15"/>
  <c r="AJ222" i="15"/>
  <c r="AK222" i="15"/>
  <c r="L579" i="15"/>
  <c r="AG240" i="15"/>
  <c r="AH240" i="15"/>
  <c r="AI240" i="15"/>
  <c r="AI236" i="15"/>
  <c r="AL205" i="15"/>
  <c r="AM205" i="15"/>
  <c r="AK192" i="15"/>
  <c r="AK200" i="15"/>
  <c r="AL200" i="15"/>
  <c r="AM200" i="15"/>
  <c r="AK193" i="15"/>
  <c r="AL193" i="15"/>
  <c r="AM193" i="15"/>
  <c r="AL203" i="15"/>
  <c r="AM203" i="15"/>
  <c r="AL195" i="15"/>
  <c r="AM195" i="15"/>
  <c r="AK204" i="15"/>
  <c r="AL197" i="15"/>
  <c r="AM197" i="15"/>
  <c r="AK197" i="15"/>
  <c r="AK221" i="15"/>
  <c r="AL221" i="15"/>
  <c r="AM221" i="15"/>
  <c r="AJ220" i="15"/>
  <c r="AK220" i="15"/>
  <c r="L577" i="15"/>
  <c r="AG220" i="15"/>
  <c r="AH220" i="15"/>
  <c r="AI220" i="15"/>
  <c r="AK230" i="15"/>
  <c r="AL230" i="15"/>
  <c r="AM230" i="15"/>
  <c r="AK238" i="15"/>
  <c r="AM238" i="15"/>
  <c r="L629" i="15"/>
  <c r="AJ272" i="15"/>
  <c r="AL271" i="15"/>
  <c r="AM271" i="15"/>
  <c r="AK271" i="15"/>
  <c r="L627" i="15"/>
  <c r="AJ270" i="15"/>
  <c r="AL269" i="15"/>
  <c r="AM269" i="15"/>
  <c r="AK269" i="15"/>
  <c r="AH268" i="15"/>
  <c r="AI268" i="15"/>
  <c r="AJ268" i="15"/>
  <c r="AK268" i="15"/>
  <c r="L625" i="15"/>
  <c r="K624" i="15"/>
  <c r="AF267" i="15"/>
  <c r="AH267" i="15"/>
  <c r="L623" i="15"/>
  <c r="AJ266" i="15"/>
  <c r="AK266" i="15"/>
  <c r="AG266" i="15"/>
  <c r="AH266" i="15"/>
  <c r="AI266" i="15"/>
  <c r="AK261" i="15"/>
  <c r="AL261" i="15"/>
  <c r="AM261" i="15"/>
  <c r="AK244" i="15"/>
  <c r="AL244" i="15"/>
  <c r="AM244" i="15"/>
  <c r="AK255" i="15"/>
  <c r="AL206" i="15"/>
  <c r="AM206" i="15"/>
  <c r="AK206" i="15"/>
  <c r="AL215" i="15"/>
  <c r="AM215" i="15"/>
  <c r="AK215" i="15"/>
  <c r="AK252" i="15"/>
  <c r="AK249" i="15"/>
  <c r="AL249" i="15"/>
  <c r="AM249" i="15"/>
  <c r="AM290" i="15"/>
  <c r="AL285" i="15"/>
  <c r="AM285" i="15"/>
  <c r="AK286" i="15"/>
  <c r="AL289" i="15"/>
  <c r="AM289" i="15"/>
  <c r="AK241" i="15"/>
  <c r="AL241" i="15"/>
  <c r="AM241" i="15"/>
  <c r="AL222" i="15"/>
  <c r="AM222" i="15"/>
  <c r="AK228" i="15"/>
  <c r="AL228" i="15"/>
  <c r="AM228" i="15"/>
  <c r="AK236" i="15"/>
  <c r="AL236" i="15"/>
  <c r="AM236" i="15"/>
  <c r="AK232" i="15"/>
  <c r="AK272" i="15"/>
  <c r="AL272" i="15"/>
  <c r="AM272" i="15"/>
  <c r="AL270" i="15"/>
  <c r="AM270" i="15"/>
  <c r="AK270" i="15"/>
  <c r="AL268" i="15"/>
  <c r="AM268" i="15"/>
  <c r="L624" i="15"/>
  <c r="AJ267" i="15"/>
  <c r="AK267" i="15"/>
  <c r="AG267" i="15"/>
  <c r="AI267" i="15"/>
  <c r="D99" i="18"/>
  <c r="G100" i="18"/>
  <c r="N89" i="18"/>
  <c r="E99" i="18"/>
  <c r="AL267" i="15"/>
  <c r="AM267" i="15"/>
  <c r="F99" i="18"/>
  <c r="G99" i="18"/>
  <c r="H99" i="18"/>
  <c r="L100" i="18"/>
  <c r="I99" i="18"/>
  <c r="J99" i="18"/>
  <c r="K99" i="18"/>
  <c r="L99" i="18"/>
  <c r="M99" i="18"/>
  <c r="Q166" i="15"/>
  <c r="D270" i="15"/>
  <c r="D627" i="15"/>
  <c r="R97" i="15"/>
  <c r="S97" i="15"/>
  <c r="R101" i="15"/>
  <c r="S101" i="15"/>
  <c r="D263" i="15"/>
  <c r="D620" i="15"/>
  <c r="R77" i="15"/>
  <c r="S77" i="15"/>
  <c r="R86" i="15"/>
  <c r="S86" i="15"/>
  <c r="R95" i="15"/>
  <c r="S95" i="15"/>
  <c r="R98" i="15"/>
  <c r="S98" i="15"/>
  <c r="R113" i="15"/>
  <c r="S113" i="15"/>
  <c r="R123" i="15"/>
  <c r="S123" i="15"/>
  <c r="R151" i="15"/>
  <c r="S151" i="15"/>
  <c r="R177" i="15"/>
  <c r="S177" i="15"/>
  <c r="R85" i="15"/>
  <c r="S85" i="15"/>
  <c r="R112" i="15"/>
  <c r="S112" i="15"/>
  <c r="R116" i="15"/>
  <c r="S116" i="15"/>
  <c r="R176" i="15"/>
  <c r="S176" i="15"/>
  <c r="R87" i="15"/>
  <c r="S87" i="15"/>
  <c r="R156" i="15"/>
  <c r="S156" i="15"/>
  <c r="R69" i="15"/>
  <c r="S69" i="15"/>
  <c r="R172" i="15"/>
  <c r="S172" i="15"/>
  <c r="R173" i="15"/>
  <c r="S173" i="15"/>
  <c r="R115" i="15"/>
  <c r="S115" i="15"/>
  <c r="R147" i="15"/>
  <c r="S147" i="15"/>
  <c r="D204" i="15"/>
  <c r="D561" i="15"/>
  <c r="R111" i="15"/>
  <c r="S111" i="15"/>
  <c r="R120" i="15"/>
  <c r="S120" i="15"/>
  <c r="R152" i="15"/>
  <c r="S152" i="15"/>
  <c r="R125" i="15"/>
  <c r="S125" i="15"/>
  <c r="Q131" i="15"/>
  <c r="R99" i="15"/>
  <c r="S99" i="15"/>
  <c r="R161" i="15"/>
  <c r="S161" i="15"/>
  <c r="D272" i="15"/>
  <c r="D629" i="15"/>
  <c r="R81" i="15"/>
  <c r="S81" i="15"/>
  <c r="R149" i="15"/>
  <c r="S149" i="15"/>
  <c r="D248" i="15"/>
  <c r="D605" i="15"/>
  <c r="D232" i="15"/>
  <c r="D589" i="15"/>
  <c r="R107" i="15"/>
  <c r="S107" i="15"/>
  <c r="R175" i="15"/>
  <c r="S175" i="15"/>
  <c r="D228" i="15"/>
  <c r="D585" i="15"/>
  <c r="D236" i="15"/>
  <c r="D593" i="15"/>
  <c r="D220" i="15"/>
  <c r="D577" i="15"/>
  <c r="R117" i="15"/>
  <c r="S117" i="15"/>
  <c r="D209" i="15"/>
  <c r="D566" i="15"/>
  <c r="D252" i="15"/>
  <c r="D609" i="15"/>
  <c r="D224" i="15"/>
  <c r="D581" i="15"/>
  <c r="D527" i="15"/>
  <c r="R159" i="15"/>
  <c r="S159" i="15"/>
  <c r="Q127" i="15"/>
  <c r="D211" i="15"/>
  <c r="D568" i="15"/>
  <c r="D194" i="15"/>
  <c r="D551" i="15"/>
  <c r="D284" i="15"/>
  <c r="D641" i="15"/>
  <c r="D254" i="15"/>
  <c r="D611" i="15"/>
  <c r="R75" i="15"/>
  <c r="S75" i="15"/>
  <c r="R76" i="15"/>
  <c r="S76" i="15"/>
  <c r="R67" i="15"/>
  <c r="S67" i="15"/>
  <c r="R169" i="15"/>
  <c r="S169" i="15"/>
  <c r="R89" i="15"/>
  <c r="S89" i="15"/>
  <c r="D246" i="15"/>
  <c r="D603" i="15"/>
  <c r="D215" i="15"/>
  <c r="D572" i="15"/>
  <c r="R72" i="15"/>
  <c r="S72" i="15"/>
  <c r="R171" i="15"/>
  <c r="S171" i="15"/>
  <c r="R126" i="15"/>
  <c r="S126" i="15"/>
  <c r="Q135" i="15"/>
  <c r="D210" i="15"/>
  <c r="D567" i="15"/>
  <c r="Q88" i="15"/>
  <c r="D249" i="15"/>
  <c r="D606" i="15"/>
  <c r="D214" i="15"/>
  <c r="D571" i="15"/>
  <c r="D293" i="15"/>
  <c r="D650" i="15"/>
  <c r="R100" i="15"/>
  <c r="S100" i="15"/>
  <c r="R164" i="15"/>
  <c r="S164" i="15"/>
  <c r="D257" i="15"/>
  <c r="D614" i="15"/>
  <c r="D205" i="15"/>
  <c r="D562" i="15"/>
  <c r="D245" i="15"/>
  <c r="D602" i="15"/>
  <c r="R144" i="15"/>
  <c r="S144" i="15"/>
  <c r="D193" i="15"/>
  <c r="D550" i="15"/>
  <c r="D261" i="15"/>
  <c r="D618" i="15"/>
  <c r="D281" i="15"/>
  <c r="D638" i="15"/>
  <c r="D300" i="15"/>
  <c r="D657" i="15"/>
  <c r="D277" i="15"/>
  <c r="D634" i="15"/>
  <c r="D529" i="15"/>
  <c r="D285" i="15"/>
  <c r="D642" i="15"/>
  <c r="R73" i="15"/>
  <c r="S73" i="15"/>
  <c r="Q73" i="15"/>
  <c r="R109" i="15"/>
  <c r="S109" i="15"/>
  <c r="Q109" i="15"/>
  <c r="Q141" i="15"/>
  <c r="R141" i="15"/>
  <c r="S141" i="15"/>
  <c r="Q165" i="15"/>
  <c r="R165" i="15"/>
  <c r="S165" i="15"/>
  <c r="Q163" i="15"/>
  <c r="R163" i="15"/>
  <c r="S163" i="15"/>
  <c r="Q122" i="15"/>
  <c r="R122" i="15"/>
  <c r="S122" i="15"/>
  <c r="Q132" i="15"/>
  <c r="R132" i="15"/>
  <c r="S132" i="15"/>
  <c r="D455" i="15"/>
  <c r="D222" i="15"/>
  <c r="D579" i="15"/>
  <c r="D499" i="15"/>
  <c r="D266" i="15"/>
  <c r="D623" i="15"/>
  <c r="R70" i="15"/>
  <c r="S70" i="15"/>
  <c r="Q70" i="15"/>
  <c r="Q103" i="15"/>
  <c r="R103" i="15"/>
  <c r="S103" i="15"/>
  <c r="R108" i="15"/>
  <c r="S108" i="15"/>
  <c r="Q108" i="15"/>
  <c r="Q104" i="15"/>
  <c r="R104" i="15"/>
  <c r="S104" i="15"/>
  <c r="Q145" i="15"/>
  <c r="R145" i="15"/>
  <c r="S145" i="15"/>
  <c r="D470" i="15"/>
  <c r="D237" i="15"/>
  <c r="D594" i="15"/>
  <c r="Q158" i="15"/>
  <c r="R158" i="15"/>
  <c r="S158" i="15"/>
  <c r="Q124" i="15"/>
  <c r="R124" i="15"/>
  <c r="S124" i="15"/>
  <c r="R105" i="15"/>
  <c r="S105" i="15"/>
  <c r="Q71" i="15"/>
  <c r="R71" i="15"/>
  <c r="S71" i="15"/>
  <c r="D433" i="15"/>
  <c r="D200" i="15"/>
  <c r="D557" i="15"/>
  <c r="D429" i="15"/>
  <c r="D196" i="15"/>
  <c r="D553" i="15"/>
  <c r="D425" i="15"/>
  <c r="D192" i="15"/>
  <c r="D549" i="15"/>
  <c r="D446" i="15"/>
  <c r="D213" i="15"/>
  <c r="D570" i="15"/>
  <c r="D493" i="15"/>
  <c r="D260" i="15"/>
  <c r="D617" i="15"/>
  <c r="D477" i="15"/>
  <c r="D244" i="15"/>
  <c r="D601" i="15"/>
  <c r="R121" i="15"/>
  <c r="S121" i="15"/>
  <c r="Q121" i="15"/>
  <c r="R83" i="15"/>
  <c r="S83" i="15"/>
  <c r="Q83" i="15"/>
  <c r="Q68" i="15"/>
  <c r="R68" i="15"/>
  <c r="S68" i="15"/>
  <c r="D436" i="15"/>
  <c r="D203" i="15"/>
  <c r="D560" i="15"/>
  <c r="D452" i="15"/>
  <c r="D219" i="15"/>
  <c r="D576" i="15"/>
  <c r="D522" i="15"/>
  <c r="D289" i="15"/>
  <c r="D646" i="15"/>
  <c r="D463" i="15"/>
  <c r="D230" i="15"/>
  <c r="D587" i="15"/>
  <c r="I537" i="15"/>
  <c r="I178" i="15"/>
  <c r="X178" i="15"/>
  <c r="Q162" i="15"/>
  <c r="R162" i="15"/>
  <c r="S162" i="15"/>
  <c r="Q167" i="15"/>
  <c r="Q155" i="15"/>
  <c r="R155" i="15"/>
  <c r="S155" i="15"/>
  <c r="D512" i="15"/>
  <c r="D279" i="15"/>
  <c r="D636" i="15"/>
  <c r="D535" i="15"/>
  <c r="D302" i="15"/>
  <c r="D659" i="15"/>
  <c r="R140" i="15"/>
  <c r="S140" i="15"/>
  <c r="Q140" i="15"/>
  <c r="Q79" i="15"/>
  <c r="R79" i="15"/>
  <c r="S79" i="15"/>
  <c r="D466" i="15"/>
  <c r="D233" i="15"/>
  <c r="D590" i="15"/>
  <c r="E276" i="15"/>
  <c r="Q74" i="15"/>
  <c r="R74" i="15"/>
  <c r="S74" i="15"/>
  <c r="Q106" i="15"/>
  <c r="R106" i="15"/>
  <c r="S106" i="15"/>
  <c r="Q118" i="15"/>
  <c r="R118" i="15"/>
  <c r="S118" i="15"/>
  <c r="D206" i="15"/>
  <c r="D563" i="15"/>
  <c r="D439" i="15"/>
  <c r="D428" i="15"/>
  <c r="D195" i="15"/>
  <c r="D552" i="15"/>
  <c r="D441" i="15"/>
  <c r="D208" i="15"/>
  <c r="D565" i="15"/>
  <c r="D476" i="15"/>
  <c r="D243" i="15"/>
  <c r="D600" i="15"/>
  <c r="Q134" i="15"/>
  <c r="R134" i="15"/>
  <c r="S134" i="15"/>
  <c r="R82" i="15"/>
  <c r="S82" i="15"/>
  <c r="Q82" i="15"/>
  <c r="D501" i="15"/>
  <c r="D268" i="15"/>
  <c r="D625" i="15"/>
  <c r="D524" i="15"/>
  <c r="D291" i="15"/>
  <c r="D648" i="15"/>
  <c r="G661" i="15"/>
  <c r="G304" i="15"/>
  <c r="P304" i="15"/>
  <c r="Q153" i="15"/>
  <c r="R153" i="15"/>
  <c r="S153" i="15"/>
  <c r="Q129" i="15"/>
  <c r="R129" i="15"/>
  <c r="S129" i="15"/>
  <c r="Q128" i="15"/>
  <c r="R128" i="15"/>
  <c r="S128" i="15"/>
  <c r="D273" i="15"/>
  <c r="D630" i="15"/>
  <c r="D506" i="15"/>
  <c r="D475" i="15"/>
  <c r="D242" i="15"/>
  <c r="D599" i="15"/>
  <c r="D491" i="15"/>
  <c r="D258" i="15"/>
  <c r="D615" i="15"/>
  <c r="D483" i="15"/>
  <c r="D250" i="15"/>
  <c r="D607" i="15"/>
  <c r="Q174" i="15"/>
  <c r="D264" i="15"/>
  <c r="D621" i="15"/>
  <c r="D275" i="15"/>
  <c r="D632" i="15"/>
  <c r="D287" i="15"/>
  <c r="D644" i="15"/>
  <c r="D298" i="15"/>
  <c r="D655" i="15"/>
  <c r="J661" i="15"/>
  <c r="J304" i="15"/>
  <c r="AB304" i="15"/>
  <c r="Q96" i="15"/>
  <c r="R96" i="15"/>
  <c r="S96" i="15"/>
  <c r="Q160" i="15"/>
  <c r="R160" i="15"/>
  <c r="S160" i="15"/>
  <c r="I661" i="15"/>
  <c r="I304" i="15"/>
  <c r="X304" i="15"/>
  <c r="H537" i="15"/>
  <c r="H178" i="15"/>
  <c r="T178" i="15"/>
  <c r="U178" i="15"/>
  <c r="D229" i="15"/>
  <c r="D586" i="15"/>
  <c r="D226" i="15"/>
  <c r="D583" i="15"/>
  <c r="D223" i="15"/>
  <c r="D580" i="15"/>
  <c r="D259" i="15"/>
  <c r="D616" i="15"/>
  <c r="D269" i="15"/>
  <c r="D626" i="15"/>
  <c r="D267" i="15"/>
  <c r="D624" i="15"/>
  <c r="D265" i="15"/>
  <c r="D622" i="15"/>
  <c r="D282" i="15"/>
  <c r="D639" i="15"/>
  <c r="D280" i="15"/>
  <c r="D637" i="15"/>
  <c r="D278" i="15"/>
  <c r="D635" i="15"/>
  <c r="D276" i="15"/>
  <c r="D633" i="15"/>
  <c r="D274" i="15"/>
  <c r="D631" i="15"/>
  <c r="D292" i="15"/>
  <c r="D649" i="15"/>
  <c r="D290" i="15"/>
  <c r="D647" i="15"/>
  <c r="D288" i="15"/>
  <c r="D645" i="15"/>
  <c r="D286" i="15"/>
  <c r="D643" i="15"/>
  <c r="D303" i="15"/>
  <c r="D660" i="15"/>
  <c r="D301" i="15"/>
  <c r="D658" i="15"/>
  <c r="D299" i="15"/>
  <c r="D656" i="15"/>
  <c r="D297" i="15"/>
  <c r="D654" i="15"/>
  <c r="D295" i="15"/>
  <c r="D652" i="15"/>
  <c r="D430" i="15"/>
  <c r="F661" i="15"/>
  <c r="F304" i="15"/>
  <c r="N304" i="15"/>
  <c r="O304" i="15"/>
  <c r="R65" i="15"/>
  <c r="S65" i="15"/>
  <c r="L537" i="15"/>
  <c r="L178" i="15"/>
  <c r="AJ178" i="15"/>
  <c r="R154" i="15"/>
  <c r="S154" i="15"/>
  <c r="D240" i="15"/>
  <c r="D597" i="15"/>
  <c r="D473" i="15"/>
  <c r="D484" i="15"/>
  <c r="D251" i="15"/>
  <c r="D608" i="15"/>
  <c r="D247" i="15"/>
  <c r="D604" i="15"/>
  <c r="D480" i="15"/>
  <c r="D435" i="15"/>
  <c r="D202" i="15"/>
  <c r="D559" i="15"/>
  <c r="D432" i="15"/>
  <c r="D199" i="15"/>
  <c r="D556" i="15"/>
  <c r="D191" i="15"/>
  <c r="D548" i="15"/>
  <c r="D424" i="15"/>
  <c r="D472" i="15"/>
  <c r="D239" i="15"/>
  <c r="D596" i="15"/>
  <c r="D504" i="15"/>
  <c r="D217" i="15"/>
  <c r="D574" i="15"/>
  <c r="D450" i="15"/>
  <c r="D431" i="15"/>
  <c r="D198" i="15"/>
  <c r="D555" i="15"/>
  <c r="D440" i="15"/>
  <c r="D207" i="15"/>
  <c r="D564" i="15"/>
  <c r="D235" i="15"/>
  <c r="D592" i="15"/>
  <c r="D468" i="15"/>
  <c r="D474" i="15"/>
  <c r="D486" i="15"/>
  <c r="R133" i="15"/>
  <c r="S133" i="15"/>
  <c r="D489" i="15"/>
  <c r="D256" i="15"/>
  <c r="D613" i="15"/>
  <c r="E111" i="15"/>
  <c r="E237" i="15"/>
  <c r="E238" i="15"/>
  <c r="AL403" i="15"/>
  <c r="AM403" i="15"/>
  <c r="F138" i="15"/>
  <c r="N138" i="15"/>
  <c r="O138" i="15"/>
  <c r="U70" i="19"/>
  <c r="T140" i="19"/>
  <c r="X141" i="19"/>
  <c r="Z141" i="19"/>
  <c r="U124" i="19"/>
  <c r="X111" i="19"/>
  <c r="Z111" i="19"/>
  <c r="AI138" i="19"/>
  <c r="AI137" i="19"/>
  <c r="AJ137" i="19"/>
  <c r="AM136" i="19"/>
  <c r="AQ136" i="19"/>
  <c r="AR136" i="19"/>
  <c r="AI132" i="19"/>
  <c r="AJ132" i="19"/>
  <c r="AI144" i="19"/>
  <c r="AJ144" i="19"/>
  <c r="AI142" i="19"/>
  <c r="AJ142" i="19"/>
  <c r="AI134" i="19"/>
  <c r="AJ134" i="19"/>
  <c r="AR143" i="19"/>
  <c r="AI141" i="19"/>
  <c r="AJ141" i="19"/>
  <c r="AI133" i="19"/>
  <c r="AJ131" i="19"/>
  <c r="AI139" i="19"/>
  <c r="AJ139" i="19"/>
  <c r="AQ135" i="19"/>
  <c r="AR135" i="19"/>
  <c r="AM135" i="19"/>
  <c r="AM131" i="19"/>
  <c r="AN131" i="19"/>
  <c r="AQ131" i="19"/>
  <c r="AR131" i="19"/>
  <c r="AI50" i="19"/>
  <c r="AK50" i="19"/>
  <c r="AL50" i="19"/>
  <c r="AI51" i="19"/>
  <c r="AI49" i="19"/>
  <c r="AJ49" i="19"/>
  <c r="AR70" i="19"/>
  <c r="AR71" i="19"/>
  <c r="AJ70" i="19"/>
  <c r="AR72" i="19"/>
  <c r="AJ71" i="19"/>
  <c r="AM71" i="19"/>
  <c r="AN71" i="19"/>
  <c r="AM70" i="19"/>
  <c r="AN70" i="19"/>
  <c r="AR90" i="19"/>
  <c r="AN91" i="19"/>
  <c r="AJ91" i="19"/>
  <c r="AQ92" i="19"/>
  <c r="AQ91" i="19"/>
  <c r="AB90" i="19"/>
  <c r="AR120" i="19"/>
  <c r="AR116" i="19"/>
  <c r="AN122" i="19"/>
  <c r="AJ114" i="19"/>
  <c r="AR121" i="19"/>
  <c r="AN117" i="19"/>
  <c r="AR113" i="19"/>
  <c r="AM120" i="19"/>
  <c r="AO120" i="19"/>
  <c r="AP120" i="19"/>
  <c r="AJ124" i="19"/>
  <c r="AM121" i="19"/>
  <c r="AN121" i="19"/>
  <c r="AM119" i="19"/>
  <c r="AN119" i="19"/>
  <c r="AM115" i="19"/>
  <c r="AO115" i="19"/>
  <c r="AP115" i="19"/>
  <c r="AN114" i="19"/>
  <c r="AM113" i="19"/>
  <c r="AN113" i="19"/>
  <c r="AM111" i="19"/>
  <c r="AO111" i="19"/>
  <c r="AP111" i="19"/>
  <c r="AQ124" i="19"/>
  <c r="AR124" i="19"/>
  <c r="AQ122" i="19"/>
  <c r="AR122" i="19"/>
  <c r="AQ118" i="19"/>
  <c r="AQ117" i="19"/>
  <c r="AR117" i="19"/>
  <c r="AQ112" i="19"/>
  <c r="AR112" i="19"/>
  <c r="X119" i="19"/>
  <c r="Y119" i="19"/>
  <c r="X120" i="19"/>
  <c r="Z120" i="19"/>
  <c r="U121" i="19"/>
  <c r="Y121" i="19"/>
  <c r="R114" i="19"/>
  <c r="R72" i="19"/>
  <c r="U71" i="19"/>
  <c r="U50" i="19"/>
  <c r="U111" i="19"/>
  <c r="AI31" i="19"/>
  <c r="AJ31" i="19"/>
  <c r="AI30" i="19"/>
  <c r="AI29" i="19"/>
  <c r="X401" i="15"/>
  <c r="Y401" i="15"/>
  <c r="T384" i="15"/>
  <c r="X379" i="15"/>
  <c r="Y379" i="15"/>
  <c r="AG377" i="15"/>
  <c r="U378" i="15"/>
  <c r="V378" i="15"/>
  <c r="Z378" i="15"/>
  <c r="AA378" i="15"/>
  <c r="AB386" i="15"/>
  <c r="AC386" i="15"/>
  <c r="AK381" i="15"/>
  <c r="AB378" i="15"/>
  <c r="T376" i="15"/>
  <c r="V376" i="15"/>
  <c r="W376" i="15"/>
  <c r="AJ386" i="15"/>
  <c r="AK386" i="15"/>
  <c r="AF386" i="15"/>
  <c r="U375" i="15"/>
  <c r="X383" i="15"/>
  <c r="AK377" i="15"/>
  <c r="AB374" i="15"/>
  <c r="AD374" i="15"/>
  <c r="AE374" i="15"/>
  <c r="Y386" i="15"/>
  <c r="AF385" i="15"/>
  <c r="AG385" i="15"/>
  <c r="AJ385" i="15"/>
  <c r="AL385" i="15"/>
  <c r="AM385" i="15"/>
  <c r="AB382" i="15"/>
  <c r="AC382" i="15"/>
  <c r="AC381" i="15"/>
  <c r="X380" i="15"/>
  <c r="Z380" i="15"/>
  <c r="AA380" i="15"/>
  <c r="X375" i="15"/>
  <c r="R381" i="15"/>
  <c r="S381" i="15"/>
  <c r="V381" i="15"/>
  <c r="Q381" i="15"/>
  <c r="U386" i="15"/>
  <c r="R385" i="15"/>
  <c r="S385" i="15"/>
  <c r="V385" i="15"/>
  <c r="W385" i="15"/>
  <c r="Q380" i="15"/>
  <c r="R379" i="15"/>
  <c r="S379" i="15"/>
  <c r="T358" i="15"/>
  <c r="U358" i="15"/>
  <c r="P357" i="15"/>
  <c r="Q357" i="15"/>
  <c r="AJ357" i="15"/>
  <c r="T357" i="15"/>
  <c r="V357" i="15"/>
  <c r="W357" i="15"/>
  <c r="Q356" i="15"/>
  <c r="T356" i="15"/>
  <c r="U356" i="15"/>
  <c r="P355" i="15"/>
  <c r="Q355" i="15"/>
  <c r="T355" i="15"/>
  <c r="Q354" i="15"/>
  <c r="P351" i="15"/>
  <c r="Q351" i="15"/>
  <c r="T353" i="15"/>
  <c r="U353" i="15"/>
  <c r="AB351" i="15"/>
  <c r="AC351" i="15"/>
  <c r="T348" i="15"/>
  <c r="U348" i="15"/>
  <c r="R358" i="15"/>
  <c r="S358" i="15"/>
  <c r="T354" i="15"/>
  <c r="U354" i="15"/>
  <c r="U352" i="15"/>
  <c r="U347" i="15"/>
  <c r="Y357" i="15"/>
  <c r="X352" i="15"/>
  <c r="Y352" i="15"/>
  <c r="T349" i="15"/>
  <c r="U349" i="15"/>
  <c r="AF347" i="15"/>
  <c r="AH347" i="15"/>
  <c r="AI347" i="15"/>
  <c r="AJ347" i="15"/>
  <c r="AK347" i="15"/>
  <c r="X356" i="15"/>
  <c r="Y356" i="15"/>
  <c r="R357" i="15"/>
  <c r="S357" i="15"/>
  <c r="X354" i="15"/>
  <c r="Y354" i="15"/>
  <c r="Z354" i="15"/>
  <c r="AA354" i="15"/>
  <c r="R348" i="15"/>
  <c r="S348" i="15"/>
  <c r="T351" i="15"/>
  <c r="T350" i="15"/>
  <c r="V350" i="15"/>
  <c r="W350" i="15"/>
  <c r="R347" i="15"/>
  <c r="S347" i="15"/>
  <c r="V347" i="15"/>
  <c r="W347" i="15"/>
  <c r="AD321" i="15"/>
  <c r="AE321" i="15"/>
  <c r="T315" i="15"/>
  <c r="P315" i="15"/>
  <c r="U264" i="15"/>
  <c r="K620" i="15"/>
  <c r="K640" i="15"/>
  <c r="K283" i="15"/>
  <c r="AF283" i="15"/>
  <c r="AF263" i="15"/>
  <c r="Y264" i="15"/>
  <c r="AB263" i="15"/>
  <c r="I621" i="15"/>
  <c r="J576" i="15"/>
  <c r="AB219" i="15"/>
  <c r="K575" i="15"/>
  <c r="AF218" i="15"/>
  <c r="AG218" i="15"/>
  <c r="X219" i="15"/>
  <c r="Y219" i="15"/>
  <c r="AF187" i="15"/>
  <c r="AG187" i="15"/>
  <c r="K544" i="15"/>
  <c r="I546" i="15"/>
  <c r="X189" i="15"/>
  <c r="Y189" i="15"/>
  <c r="J545" i="15"/>
  <c r="AB188" i="15"/>
  <c r="I547" i="15"/>
  <c r="X190" i="15"/>
  <c r="Z190" i="15"/>
  <c r="Y187" i="15"/>
  <c r="X186" i="15"/>
  <c r="Y186" i="15"/>
  <c r="I543" i="15"/>
  <c r="U190" i="15"/>
  <c r="X188" i="15"/>
  <c r="J544" i="15"/>
  <c r="I544" i="15"/>
  <c r="I545" i="15"/>
  <c r="AB187" i="15"/>
  <c r="T189" i="15"/>
  <c r="Q187" i="15"/>
  <c r="AM142" i="19"/>
  <c r="AO142" i="19"/>
  <c r="AP142" i="19"/>
  <c r="AQ142" i="19"/>
  <c r="AR142" i="19"/>
  <c r="AQ141" i="19"/>
  <c r="AR141" i="19"/>
  <c r="AM141" i="19"/>
  <c r="AN141" i="19"/>
  <c r="AQ132" i="19"/>
  <c r="AR132" i="19"/>
  <c r="AM132" i="19"/>
  <c r="AM138" i="19"/>
  <c r="AQ138" i="19"/>
  <c r="AR138" i="19"/>
  <c r="AM133" i="19"/>
  <c r="AO133" i="19"/>
  <c r="AP133" i="19"/>
  <c r="AQ133" i="19"/>
  <c r="AR133" i="19"/>
  <c r="AM144" i="19"/>
  <c r="AQ144" i="19"/>
  <c r="AR144" i="19"/>
  <c r="AM139" i="19"/>
  <c r="AQ139" i="19"/>
  <c r="AR139" i="19"/>
  <c r="AM134" i="19"/>
  <c r="AO134" i="19"/>
  <c r="AP134" i="19"/>
  <c r="AQ134" i="19"/>
  <c r="AQ137" i="19"/>
  <c r="AR137" i="19"/>
  <c r="AM137" i="19"/>
  <c r="AN137" i="19"/>
  <c r="AM51" i="19"/>
  <c r="AN51" i="19"/>
  <c r="AQ51" i="19"/>
  <c r="AR51" i="19"/>
  <c r="AM49" i="19"/>
  <c r="AN49" i="19"/>
  <c r="AQ49" i="19"/>
  <c r="AR49" i="19"/>
  <c r="AQ50" i="19"/>
  <c r="AM50" i="19"/>
  <c r="AR91" i="19"/>
  <c r="AN120" i="19"/>
  <c r="AM30" i="19"/>
  <c r="AQ30" i="19"/>
  <c r="AR30" i="19"/>
  <c r="AQ29" i="19"/>
  <c r="AR29" i="19"/>
  <c r="AM29" i="19"/>
  <c r="AN29" i="19"/>
  <c r="AM31" i="19"/>
  <c r="AN31" i="19"/>
  <c r="AQ31" i="19"/>
  <c r="AR31" i="19"/>
  <c r="AB401" i="15"/>
  <c r="AB375" i="15"/>
  <c r="AD375" i="15"/>
  <c r="AE375" i="15"/>
  <c r="AJ374" i="15"/>
  <c r="AK374" i="15"/>
  <c r="AF374" i="15"/>
  <c r="AG374" i="15"/>
  <c r="AB383" i="15"/>
  <c r="AC383" i="15"/>
  <c r="AG386" i="15"/>
  <c r="AC378" i="15"/>
  <c r="Y380" i="15"/>
  <c r="AJ378" i="15"/>
  <c r="AK378" i="15"/>
  <c r="AF378" i="15"/>
  <c r="AB379" i="15"/>
  <c r="AB380" i="15"/>
  <c r="AC380" i="15"/>
  <c r="AJ382" i="15"/>
  <c r="AF382" i="15"/>
  <c r="AG382" i="15"/>
  <c r="X376" i="15"/>
  <c r="Y376" i="15"/>
  <c r="U384" i="15"/>
  <c r="AK385" i="15"/>
  <c r="X384" i="15"/>
  <c r="Z384" i="15"/>
  <c r="AA384" i="15"/>
  <c r="AF357" i="15"/>
  <c r="AG357" i="15"/>
  <c r="AB357" i="15"/>
  <c r="R351" i="15"/>
  <c r="S351" i="15"/>
  <c r="X350" i="15"/>
  <c r="Z350" i="15"/>
  <c r="AK357" i="15"/>
  <c r="AB352" i="15"/>
  <c r="AC352" i="15"/>
  <c r="Z356" i="15"/>
  <c r="AA356" i="15"/>
  <c r="AB355" i="15"/>
  <c r="X348" i="15"/>
  <c r="Y348" i="15"/>
  <c r="X358" i="15"/>
  <c r="AB354" i="15"/>
  <c r="AC354" i="15"/>
  <c r="AB356" i="15"/>
  <c r="AC356" i="15"/>
  <c r="AD356" i="15"/>
  <c r="AE356" i="15"/>
  <c r="X349" i="15"/>
  <c r="Y349" i="15"/>
  <c r="Z349" i="15"/>
  <c r="AA349" i="15"/>
  <c r="X353" i="15"/>
  <c r="AC357" i="15"/>
  <c r="U350" i="15"/>
  <c r="U351" i="15"/>
  <c r="AJ351" i="15"/>
  <c r="AF351" i="15"/>
  <c r="AG351" i="15"/>
  <c r="X315" i="15"/>
  <c r="Y315" i="15"/>
  <c r="AB264" i="15"/>
  <c r="AC264" i="15"/>
  <c r="J621" i="15"/>
  <c r="J640" i="15"/>
  <c r="J283" i="15"/>
  <c r="AB283" i="15"/>
  <c r="AJ263" i="15"/>
  <c r="AK263" i="15"/>
  <c r="L620" i="15"/>
  <c r="L640" i="15"/>
  <c r="L283" i="15"/>
  <c r="AJ283" i="15"/>
  <c r="AC263" i="15"/>
  <c r="K576" i="15"/>
  <c r="AF219" i="15"/>
  <c r="AG219" i="15"/>
  <c r="AJ218" i="15"/>
  <c r="AK218" i="15"/>
  <c r="L575" i="15"/>
  <c r="L619" i="15"/>
  <c r="L262" i="15"/>
  <c r="AJ262" i="15"/>
  <c r="J543" i="15"/>
  <c r="AB186" i="15"/>
  <c r="AB190" i="15"/>
  <c r="AC190" i="15"/>
  <c r="J547" i="15"/>
  <c r="AB189" i="15"/>
  <c r="AC189" i="15"/>
  <c r="J546" i="15"/>
  <c r="Y188" i="15"/>
  <c r="K545" i="15"/>
  <c r="AF188" i="15"/>
  <c r="L544" i="15"/>
  <c r="AJ187" i="15"/>
  <c r="AK187" i="15"/>
  <c r="AN50" i="19"/>
  <c r="AR50" i="19"/>
  <c r="AJ401" i="15"/>
  <c r="AL401" i="15"/>
  <c r="AM401" i="15"/>
  <c r="AF401" i="15"/>
  <c r="AG401" i="15"/>
  <c r="AC401" i="15"/>
  <c r="AG378" i="15"/>
  <c r="AB384" i="15"/>
  <c r="AC384" i="15"/>
  <c r="AB376" i="15"/>
  <c r="AD376" i="15"/>
  <c r="AE376" i="15"/>
  <c r="AJ380" i="15"/>
  <c r="AF380" i="15"/>
  <c r="AG380" i="15"/>
  <c r="AF383" i="15"/>
  <c r="AG383" i="15"/>
  <c r="AJ383" i="15"/>
  <c r="AK383" i="15"/>
  <c r="AC379" i="15"/>
  <c r="AK382" i="15"/>
  <c r="AF379" i="15"/>
  <c r="AG379" i="15"/>
  <c r="AJ379" i="15"/>
  <c r="AL379" i="15"/>
  <c r="AM379" i="15"/>
  <c r="AK379" i="15"/>
  <c r="AF375" i="15"/>
  <c r="AH375" i="15"/>
  <c r="AI375" i="15"/>
  <c r="AJ375" i="15"/>
  <c r="AB349" i="15"/>
  <c r="AC349" i="15"/>
  <c r="AB348" i="15"/>
  <c r="AC348" i="15"/>
  <c r="AK351" i="15"/>
  <c r="AF352" i="15"/>
  <c r="AG352" i="15"/>
  <c r="AJ352" i="15"/>
  <c r="AL352" i="15"/>
  <c r="AM352" i="15"/>
  <c r="Y353" i="15"/>
  <c r="AB350" i="15"/>
  <c r="AC350" i="15"/>
  <c r="AF354" i="15"/>
  <c r="AG354" i="15"/>
  <c r="AJ354" i="15"/>
  <c r="AL354" i="15"/>
  <c r="AM354" i="15"/>
  <c r="AJ355" i="15"/>
  <c r="AK355" i="15"/>
  <c r="AF355" i="15"/>
  <c r="AG355" i="15"/>
  <c r="AB353" i="15"/>
  <c r="AD353" i="15"/>
  <c r="AE353" i="15"/>
  <c r="AJ356" i="15"/>
  <c r="AK356" i="15"/>
  <c r="AF356" i="15"/>
  <c r="AG356" i="15"/>
  <c r="AB358" i="15"/>
  <c r="AD358" i="15"/>
  <c r="AE358" i="15"/>
  <c r="Y350" i="15"/>
  <c r="AB315" i="15"/>
  <c r="AF264" i="15"/>
  <c r="K621" i="15"/>
  <c r="AF217" i="15"/>
  <c r="AH217" i="15"/>
  <c r="AI217" i="15"/>
  <c r="K574" i="15"/>
  <c r="K619" i="15"/>
  <c r="K262" i="15"/>
  <c r="AF262" i="15"/>
  <c r="AG262" i="15"/>
  <c r="L576" i="15"/>
  <c r="AJ219" i="15"/>
  <c r="AK219" i="15"/>
  <c r="AG188" i="15"/>
  <c r="K547" i="15"/>
  <c r="AF190" i="15"/>
  <c r="AG190" i="15"/>
  <c r="L545" i="15"/>
  <c r="AJ188" i="15"/>
  <c r="AK188" i="15"/>
  <c r="K546" i="15"/>
  <c r="AF189" i="15"/>
  <c r="AH189" i="15"/>
  <c r="AI189" i="15"/>
  <c r="K543" i="15"/>
  <c r="K573" i="15"/>
  <c r="K216" i="15"/>
  <c r="AF216" i="15"/>
  <c r="AF186" i="15"/>
  <c r="AG186" i="15"/>
  <c r="AF384" i="15"/>
  <c r="AG384" i="15"/>
  <c r="AJ384" i="15"/>
  <c r="AF376" i="15"/>
  <c r="AJ376" i="15"/>
  <c r="AL376" i="15"/>
  <c r="AM376" i="15"/>
  <c r="AF348" i="15"/>
  <c r="AG348" i="15"/>
  <c r="AJ348" i="15"/>
  <c r="AL348" i="15"/>
  <c r="AM348" i="15"/>
  <c r="AJ358" i="15"/>
  <c r="AK358" i="15"/>
  <c r="AF358" i="15"/>
  <c r="AF350" i="15"/>
  <c r="AG350" i="15"/>
  <c r="AJ350" i="15"/>
  <c r="AK350" i="15"/>
  <c r="AC358" i="15"/>
  <c r="AJ353" i="15"/>
  <c r="AK353" i="15"/>
  <c r="AF353" i="15"/>
  <c r="AG353" i="15"/>
  <c r="AF349" i="15"/>
  <c r="AG349" i="15"/>
  <c r="AJ349" i="15"/>
  <c r="AK349" i="15"/>
  <c r="AC315" i="15"/>
  <c r="AF315" i="15"/>
  <c r="AG315" i="15"/>
  <c r="AJ315" i="15"/>
  <c r="AK315" i="15"/>
  <c r="AJ314" i="15"/>
  <c r="AL314" i="15"/>
  <c r="AM314" i="15"/>
  <c r="AK314" i="15"/>
  <c r="AF314" i="15"/>
  <c r="AG314" i="15"/>
  <c r="L621" i="15"/>
  <c r="AJ264" i="15"/>
  <c r="AJ217" i="15"/>
  <c r="AL217" i="15"/>
  <c r="AM217" i="15"/>
  <c r="L574" i="15"/>
  <c r="AJ186" i="15"/>
  <c r="L543" i="15"/>
  <c r="L573" i="15"/>
  <c r="L216" i="15"/>
  <c r="AJ216" i="15"/>
  <c r="L546" i="15"/>
  <c r="AJ189" i="15"/>
  <c r="AK189" i="15"/>
  <c r="L547" i="15"/>
  <c r="AJ190" i="15"/>
  <c r="AK190" i="15"/>
  <c r="AK376" i="15"/>
  <c r="AK384" i="15"/>
  <c r="AG358" i="15"/>
  <c r="AK217" i="15"/>
  <c r="AK186" i="15"/>
  <c r="E69" i="21"/>
  <c r="E80" i="21"/>
  <c r="E147" i="21"/>
  <c r="M80" i="21"/>
  <c r="M81" i="21"/>
  <c r="G80" i="21"/>
  <c r="K80" i="21"/>
  <c r="H80" i="21"/>
  <c r="H147" i="21"/>
  <c r="L80" i="21"/>
  <c r="G69" i="21"/>
  <c r="G70" i="21"/>
  <c r="K69" i="21"/>
  <c r="K136" i="21"/>
  <c r="G152" i="21"/>
  <c r="X35" i="19"/>
  <c r="Z35" i="19"/>
  <c r="U38" i="19"/>
  <c r="X42" i="19"/>
  <c r="Z42" i="19"/>
  <c r="AK38" i="19"/>
  <c r="AL38" i="19"/>
  <c r="AJ42" i="19"/>
  <c r="AB38" i="19"/>
  <c r="AD38" i="19"/>
  <c r="AC37" i="19"/>
  <c r="AK37" i="19"/>
  <c r="AL37" i="19"/>
  <c r="AJ32" i="19"/>
  <c r="AB60" i="19"/>
  <c r="AD60" i="19"/>
  <c r="X60" i="19"/>
  <c r="Z60" i="19"/>
  <c r="AR59" i="19"/>
  <c r="AN59" i="19"/>
  <c r="AJ59" i="19"/>
  <c r="AB59" i="19"/>
  <c r="AB58" i="19"/>
  <c r="X58" i="19"/>
  <c r="Z58" i="19"/>
  <c r="AO57" i="19"/>
  <c r="AP57" i="19"/>
  <c r="AC83" i="19"/>
  <c r="AK83" i="19"/>
  <c r="AL83" i="19"/>
  <c r="Y83" i="19"/>
  <c r="AO80" i="19"/>
  <c r="AP80" i="19"/>
  <c r="AS79" i="19"/>
  <c r="AT79" i="19"/>
  <c r="AK79" i="19"/>
  <c r="AL79" i="19"/>
  <c r="AO78" i="19"/>
  <c r="AP78" i="19"/>
  <c r="Y75" i="19"/>
  <c r="AS83" i="19"/>
  <c r="AT83" i="19"/>
  <c r="U81" i="19"/>
  <c r="AR77" i="19"/>
  <c r="T76" i="19"/>
  <c r="V76" i="19"/>
  <c r="AK75" i="19"/>
  <c r="AL75" i="19"/>
  <c r="AC75" i="19"/>
  <c r="U73" i="19"/>
  <c r="AB71" i="19"/>
  <c r="U103" i="19"/>
  <c r="U101" i="19"/>
  <c r="X99" i="19"/>
  <c r="Z99" i="19"/>
  <c r="Y94" i="19"/>
  <c r="AC94" i="19"/>
  <c r="U94" i="19"/>
  <c r="T100" i="19"/>
  <c r="V100" i="19"/>
  <c r="AR94" i="19"/>
  <c r="AN94" i="19"/>
  <c r="T92" i="19"/>
  <c r="V92" i="19"/>
  <c r="AR134" i="19"/>
  <c r="T113" i="19"/>
  <c r="V113" i="19"/>
  <c r="X118" i="19"/>
  <c r="Z118" i="19"/>
  <c r="AO73" i="19"/>
  <c r="AP73" i="19"/>
  <c r="AJ30" i="19"/>
  <c r="AS32" i="19"/>
  <c r="AT32" i="19"/>
  <c r="AD402" i="15"/>
  <c r="AE402" i="15"/>
  <c r="AG316" i="15"/>
  <c r="Z316" i="15"/>
  <c r="AA316" i="15"/>
  <c r="Z317" i="15"/>
  <c r="AA317" i="15"/>
  <c r="R139" i="15"/>
  <c r="S139" i="15"/>
  <c r="N159" i="15"/>
  <c r="O159" i="15"/>
  <c r="F178" i="15"/>
  <c r="P138" i="15"/>
  <c r="Q138" i="15"/>
  <c r="G497" i="15"/>
  <c r="G451" i="15"/>
  <c r="G495" i="15"/>
  <c r="G136" i="15"/>
  <c r="P136" i="15"/>
  <c r="G452" i="15"/>
  <c r="P60" i="15"/>
  <c r="R60" i="15"/>
  <c r="S60" i="15"/>
  <c r="G419" i="15"/>
  <c r="G421" i="15"/>
  <c r="N71" i="15"/>
  <c r="O71" i="15"/>
  <c r="G422" i="15"/>
  <c r="G423" i="15"/>
  <c r="E284" i="15"/>
  <c r="E266" i="15"/>
  <c r="H497" i="15"/>
  <c r="T138" i="15"/>
  <c r="V138" i="15"/>
  <c r="W138" i="15"/>
  <c r="G496" i="15"/>
  <c r="G516" i="15"/>
  <c r="G157" i="15"/>
  <c r="P157" i="15"/>
  <c r="T93" i="15"/>
  <c r="V93" i="15"/>
  <c r="U93" i="15"/>
  <c r="H452" i="15"/>
  <c r="H451" i="15"/>
  <c r="T92" i="15"/>
  <c r="U92" i="15"/>
  <c r="G450" i="15"/>
  <c r="T64" i="15"/>
  <c r="U64" i="15"/>
  <c r="H423" i="15"/>
  <c r="H422" i="15"/>
  <c r="T63" i="15"/>
  <c r="U63" i="15"/>
  <c r="H421" i="15"/>
  <c r="T62" i="15"/>
  <c r="U62" i="15"/>
  <c r="G420" i="15"/>
  <c r="T60" i="15"/>
  <c r="V60" i="15"/>
  <c r="W60" i="15"/>
  <c r="H419" i="15"/>
  <c r="H496" i="15"/>
  <c r="H516" i="15"/>
  <c r="H157" i="15"/>
  <c r="T157" i="15"/>
  <c r="T137" i="15"/>
  <c r="U137" i="15"/>
  <c r="X138" i="15"/>
  <c r="Y138" i="15"/>
  <c r="I497" i="15"/>
  <c r="T91" i="15"/>
  <c r="H450" i="15"/>
  <c r="H495" i="15"/>
  <c r="H136" i="15"/>
  <c r="I451" i="15"/>
  <c r="X92" i="15"/>
  <c r="Y92" i="15"/>
  <c r="I452" i="15"/>
  <c r="X93" i="15"/>
  <c r="Y93" i="15"/>
  <c r="X60" i="15"/>
  <c r="Y60" i="15"/>
  <c r="I419" i="15"/>
  <c r="I449" i="15"/>
  <c r="I90" i="15"/>
  <c r="X63" i="15"/>
  <c r="Y63" i="15"/>
  <c r="Z63" i="15"/>
  <c r="AA63" i="15"/>
  <c r="I422" i="15"/>
  <c r="T61" i="15"/>
  <c r="U61" i="15"/>
  <c r="H420" i="15"/>
  <c r="I421" i="15"/>
  <c r="X62" i="15"/>
  <c r="Y62" i="15"/>
  <c r="I423" i="15"/>
  <c r="X64" i="15"/>
  <c r="Y64" i="15"/>
  <c r="AB138" i="15"/>
  <c r="AC138" i="15"/>
  <c r="J497" i="15"/>
  <c r="I496" i="15"/>
  <c r="I516" i="15"/>
  <c r="I157" i="15"/>
  <c r="X157" i="15"/>
  <c r="X137" i="15"/>
  <c r="Y137" i="15"/>
  <c r="AB93" i="15"/>
  <c r="AC93" i="15"/>
  <c r="J452" i="15"/>
  <c r="J451" i="15"/>
  <c r="AB92" i="15"/>
  <c r="I450" i="15"/>
  <c r="X91" i="15"/>
  <c r="Z91" i="15"/>
  <c r="X61" i="15"/>
  <c r="Y61" i="15"/>
  <c r="I420" i="15"/>
  <c r="J423" i="15"/>
  <c r="AB64" i="15"/>
  <c r="AD64" i="15"/>
  <c r="AE64" i="15"/>
  <c r="J422" i="15"/>
  <c r="AB63" i="15"/>
  <c r="AC63" i="15"/>
  <c r="AB62" i="15"/>
  <c r="AD62" i="15"/>
  <c r="AE62" i="15"/>
  <c r="J421" i="15"/>
  <c r="J419" i="15"/>
  <c r="AB60" i="15"/>
  <c r="AC60" i="15"/>
  <c r="F49" i="13"/>
  <c r="H49" i="13"/>
  <c r="J496" i="15"/>
  <c r="AB137" i="15"/>
  <c r="AC137" i="15"/>
  <c r="AF138" i="15"/>
  <c r="AH138" i="15"/>
  <c r="AI138" i="15"/>
  <c r="K497" i="15"/>
  <c r="K516" i="15"/>
  <c r="K157" i="15"/>
  <c r="AF157" i="15"/>
  <c r="AG157" i="15"/>
  <c r="AB91" i="15"/>
  <c r="AC91" i="15"/>
  <c r="J450" i="15"/>
  <c r="K452" i="15"/>
  <c r="AF93" i="15"/>
  <c r="AG93" i="15"/>
  <c r="AC92" i="15"/>
  <c r="AF92" i="15"/>
  <c r="AH92" i="15"/>
  <c r="AI92" i="15"/>
  <c r="K451" i="15"/>
  <c r="K423" i="15"/>
  <c r="AF64" i="15"/>
  <c r="AB61" i="15"/>
  <c r="AC61" i="15"/>
  <c r="J420" i="15"/>
  <c r="J449" i="15"/>
  <c r="J90" i="15"/>
  <c r="AB90" i="15"/>
  <c r="AF60" i="15"/>
  <c r="K419" i="15"/>
  <c r="AF62" i="15"/>
  <c r="AG62" i="15"/>
  <c r="AH62" i="15"/>
  <c r="AI62" i="15"/>
  <c r="K421" i="15"/>
  <c r="AF63" i="15"/>
  <c r="K422" i="15"/>
  <c r="F50" i="13"/>
  <c r="AJ138" i="15"/>
  <c r="AL138" i="15"/>
  <c r="AM138" i="15"/>
  <c r="L497" i="15"/>
  <c r="AF137" i="15"/>
  <c r="AH137" i="15"/>
  <c r="AI137" i="15"/>
  <c r="K496" i="15"/>
  <c r="AJ92" i="15"/>
  <c r="L451" i="15"/>
  <c r="L452" i="15"/>
  <c r="AJ93" i="15"/>
  <c r="AK93" i="15"/>
  <c r="K450" i="15"/>
  <c r="K495" i="15"/>
  <c r="K136" i="15"/>
  <c r="AF136" i="15"/>
  <c r="AG136" i="15"/>
  <c r="AF91" i="15"/>
  <c r="AH91" i="15"/>
  <c r="AI91" i="15"/>
  <c r="AJ63" i="15"/>
  <c r="AK63" i="15"/>
  <c r="L422" i="15"/>
  <c r="L419" i="15"/>
  <c r="L449" i="15"/>
  <c r="L90" i="15"/>
  <c r="AJ90" i="15"/>
  <c r="AJ60" i="15"/>
  <c r="AJ62" i="15"/>
  <c r="AL62" i="15"/>
  <c r="AM62" i="15"/>
  <c r="AK62" i="15"/>
  <c r="L421" i="15"/>
  <c r="K420" i="15"/>
  <c r="K449" i="15"/>
  <c r="K90" i="15"/>
  <c r="AF90" i="15"/>
  <c r="AF61" i="15"/>
  <c r="AJ64" i="15"/>
  <c r="AK64" i="15"/>
  <c r="L423" i="15"/>
  <c r="F46" i="13"/>
  <c r="H46" i="13"/>
  <c r="H50" i="13"/>
  <c r="F51" i="13"/>
  <c r="AG137" i="15"/>
  <c r="AJ137" i="15"/>
  <c r="L496" i="15"/>
  <c r="L516" i="15"/>
  <c r="L157" i="15"/>
  <c r="AJ157" i="15"/>
  <c r="AK138" i="15"/>
  <c r="L450" i="15"/>
  <c r="L495" i="15"/>
  <c r="L136" i="15"/>
  <c r="AJ136" i="15"/>
  <c r="AK136" i="15"/>
  <c r="AJ91" i="15"/>
  <c r="AG91" i="15"/>
  <c r="AG61" i="15"/>
  <c r="L420" i="15"/>
  <c r="AJ61" i="15"/>
  <c r="F47" i="13"/>
  <c r="H51" i="13"/>
  <c r="AK61" i="15"/>
  <c r="H47" i="13"/>
  <c r="F48" i="13"/>
  <c r="H48" i="13"/>
  <c r="R150" i="15"/>
  <c r="S150" i="15"/>
  <c r="D201" i="15"/>
  <c r="D558" i="15"/>
  <c r="D255" i="15"/>
  <c r="D612" i="15"/>
  <c r="D231" i="15"/>
  <c r="D588" i="15"/>
  <c r="R143" i="15"/>
  <c r="S143" i="15"/>
  <c r="R168" i="15"/>
  <c r="S168" i="15"/>
  <c r="D227" i="15"/>
  <c r="D584" i="15"/>
  <c r="N178" i="15"/>
  <c r="O178" i="15"/>
  <c r="E70" i="21"/>
  <c r="T139" i="19"/>
  <c r="U138" i="19"/>
  <c r="U134" i="19"/>
  <c r="Y134" i="19"/>
  <c r="AC134" i="19"/>
  <c r="AC142" i="19"/>
  <c r="AK142" i="19"/>
  <c r="AL142" i="19"/>
  <c r="U142" i="19"/>
  <c r="Y142" i="19"/>
  <c r="T138" i="19"/>
  <c r="V138" i="19"/>
  <c r="AJ138" i="19"/>
  <c r="X137" i="19"/>
  <c r="Z137" i="19"/>
  <c r="T137" i="19"/>
  <c r="U133" i="19"/>
  <c r="Y133" i="19"/>
  <c r="U143" i="19"/>
  <c r="Y136" i="19"/>
  <c r="AC136" i="19"/>
  <c r="AK136" i="19"/>
  <c r="AL136" i="19"/>
  <c r="T142" i="19"/>
  <c r="V142" i="19"/>
  <c r="AB142" i="19"/>
  <c r="AD142" i="19"/>
  <c r="AC141" i="19"/>
  <c r="AC137" i="19"/>
  <c r="AK137" i="19"/>
  <c r="AL137" i="19"/>
  <c r="AB138" i="19"/>
  <c r="AJ133" i="19"/>
  <c r="Y140" i="19"/>
  <c r="Y144" i="19"/>
  <c r="U140" i="19"/>
  <c r="AN139" i="19"/>
  <c r="AN135" i="19"/>
  <c r="Y113" i="19"/>
  <c r="AC113" i="19"/>
  <c r="AK113" i="19"/>
  <c r="AL113" i="19"/>
  <c r="AS124" i="19"/>
  <c r="AT124" i="19"/>
  <c r="AP124" i="19"/>
  <c r="AS112" i="19"/>
  <c r="AT112" i="19"/>
  <c r="AO117" i="19"/>
  <c r="AP117" i="19"/>
  <c r="AO121" i="19"/>
  <c r="AP121" i="19"/>
  <c r="AS115" i="19"/>
  <c r="AT115" i="19"/>
  <c r="AC120" i="19"/>
  <c r="AK120" i="19"/>
  <c r="AL120" i="19"/>
  <c r="AS114" i="19"/>
  <c r="AT114" i="19"/>
  <c r="AR118" i="19"/>
  <c r="AC119" i="19"/>
  <c r="AK119" i="19"/>
  <c r="AL119" i="19"/>
  <c r="AR115" i="19"/>
  <c r="AN112" i="19"/>
  <c r="AB124" i="19"/>
  <c r="T117" i="19"/>
  <c r="V117" i="19"/>
  <c r="X114" i="19"/>
  <c r="Z114" i="19"/>
  <c r="AO116" i="19"/>
  <c r="AP116" i="19"/>
  <c r="AR114" i="19"/>
  <c r="AN118" i="19"/>
  <c r="Y122" i="19"/>
  <c r="AC122" i="19"/>
  <c r="AD122" i="19"/>
  <c r="X116" i="19"/>
  <c r="Z116" i="19"/>
  <c r="AB113" i="19"/>
  <c r="AD113" i="19"/>
  <c r="T116" i="19"/>
  <c r="V116" i="19"/>
  <c r="AB121" i="19"/>
  <c r="AD121" i="19"/>
  <c r="AC90" i="19"/>
  <c r="AC92" i="19"/>
  <c r="AK92" i="19"/>
  <c r="AL92" i="19"/>
  <c r="AN92" i="19"/>
  <c r="Y72" i="19"/>
  <c r="AC72" i="19"/>
  <c r="AK72" i="19"/>
  <c r="AL72" i="19"/>
  <c r="Y71" i="19"/>
  <c r="AC71" i="19"/>
  <c r="AJ72" i="19"/>
  <c r="AO50" i="19"/>
  <c r="AP50" i="19"/>
  <c r="AS50" i="19"/>
  <c r="AT50" i="19"/>
  <c r="AJ51" i="19"/>
  <c r="U51" i="19"/>
  <c r="Y30" i="19"/>
  <c r="V401" i="15"/>
  <c r="W401" i="15"/>
  <c r="AK401" i="15"/>
  <c r="AD378" i="15"/>
  <c r="AE378" i="15"/>
  <c r="Z379" i="15"/>
  <c r="AA379" i="15"/>
  <c r="V375" i="15"/>
  <c r="W375" i="15"/>
  <c r="V380" i="15"/>
  <c r="W380" i="15"/>
  <c r="AH378" i="15"/>
  <c r="AI378" i="15"/>
  <c r="AD383" i="15"/>
  <c r="AE383" i="15"/>
  <c r="W381" i="15"/>
  <c r="Z381" i="15"/>
  <c r="AA381" i="15"/>
  <c r="AA382" i="15"/>
  <c r="V374" i="15"/>
  <c r="W374" i="15"/>
  <c r="V386" i="15"/>
  <c r="W386" i="15"/>
  <c r="S384" i="15"/>
  <c r="V384" i="15"/>
  <c r="W384" i="15"/>
  <c r="Y384" i="15"/>
  <c r="R377" i="15"/>
  <c r="W378" i="15"/>
  <c r="Y392" i="15"/>
  <c r="Q391" i="15"/>
  <c r="U379" i="15"/>
  <c r="AH383" i="15"/>
  <c r="Q376" i="15"/>
  <c r="Z385" i="15"/>
  <c r="AA385" i="15"/>
  <c r="R387" i="15"/>
  <c r="S387" i="15"/>
  <c r="V392" i="15"/>
  <c r="W392" i="15"/>
  <c r="Q375" i="15"/>
  <c r="AL391" i="15"/>
  <c r="AM391" i="15"/>
  <c r="U387" i="15"/>
  <c r="AL387" i="15"/>
  <c r="AM387" i="15"/>
  <c r="S353" i="15"/>
  <c r="V349" i="15"/>
  <c r="W349" i="15"/>
  <c r="V352" i="15"/>
  <c r="W352" i="15"/>
  <c r="Z357" i="15"/>
  <c r="AA357" i="15"/>
  <c r="AC365" i="15"/>
  <c r="R355" i="15"/>
  <c r="S355" i="15"/>
  <c r="Z366" i="15"/>
  <c r="AA366" i="15"/>
  <c r="R360" i="15"/>
  <c r="S360" i="15"/>
  <c r="AH356" i="15"/>
  <c r="AI356" i="15"/>
  <c r="V358" i="15"/>
  <c r="W358" i="15"/>
  <c r="AL363" i="15"/>
  <c r="AM363" i="15"/>
  <c r="AL364" i="15"/>
  <c r="AM364" i="15"/>
  <c r="Q353" i="15"/>
  <c r="AC364" i="15"/>
  <c r="V351" i="15"/>
  <c r="W351" i="15"/>
  <c r="AC366" i="15"/>
  <c r="Z315" i="15"/>
  <c r="AA315" i="15"/>
  <c r="AG189" i="15"/>
  <c r="G573" i="15"/>
  <c r="G216" i="15"/>
  <c r="P216" i="15"/>
  <c r="F573" i="15"/>
  <c r="F216" i="15"/>
  <c r="N216" i="15"/>
  <c r="O216" i="15"/>
  <c r="AK137" i="15"/>
  <c r="D84" i="4"/>
  <c r="F137" i="15"/>
  <c r="N137" i="15"/>
  <c r="O137" i="15"/>
  <c r="P137" i="15"/>
  <c r="Q137" i="15"/>
  <c r="L71" i="4"/>
  <c r="P91" i="15"/>
  <c r="R91" i="15"/>
  <c r="S91" i="15"/>
  <c r="F92" i="15"/>
  <c r="N92" i="15"/>
  <c r="O92" i="15"/>
  <c r="P92" i="15"/>
  <c r="Q92" i="15"/>
  <c r="F62" i="15"/>
  <c r="N62" i="15"/>
  <c r="O62" i="15"/>
  <c r="P62" i="15"/>
  <c r="Q62" i="15"/>
  <c r="P61" i="15"/>
  <c r="Q61" i="15"/>
  <c r="L34" i="4"/>
  <c r="F63" i="15"/>
  <c r="N63" i="15"/>
  <c r="P63" i="15"/>
  <c r="Q63" i="15"/>
  <c r="G14" i="4"/>
  <c r="L74" i="3"/>
  <c r="E138" i="15"/>
  <c r="N264" i="15"/>
  <c r="E137" i="15"/>
  <c r="G64" i="3"/>
  <c r="N218" i="15"/>
  <c r="O218" i="15"/>
  <c r="G38" i="3"/>
  <c r="G19" i="3"/>
  <c r="D189" i="15"/>
  <c r="D546" i="15"/>
  <c r="D420" i="15"/>
  <c r="AC133" i="19"/>
  <c r="Y143" i="19"/>
  <c r="AO143" i="19"/>
  <c r="AP143" i="19"/>
  <c r="Y132" i="19"/>
  <c r="AO139" i="19"/>
  <c r="AP139" i="19"/>
  <c r="AC144" i="19"/>
  <c r="AK133" i="19"/>
  <c r="AL133" i="19"/>
  <c r="AO137" i="19"/>
  <c r="AP137" i="19"/>
  <c r="AS138" i="19"/>
  <c r="AT138" i="19"/>
  <c r="AK141" i="19"/>
  <c r="AL141" i="19"/>
  <c r="AD141" i="19"/>
  <c r="AO122" i="19"/>
  <c r="AP122" i="19"/>
  <c r="AS116" i="19"/>
  <c r="AT116" i="19"/>
  <c r="AS111" i="19"/>
  <c r="AT111" i="19"/>
  <c r="AO118" i="19"/>
  <c r="AP118" i="19"/>
  <c r="AO123" i="19"/>
  <c r="AP123" i="19"/>
  <c r="AS121" i="19"/>
  <c r="AT121" i="19"/>
  <c r="AS117" i="19"/>
  <c r="AT117" i="19"/>
  <c r="AO113" i="19"/>
  <c r="AP113" i="19"/>
  <c r="AD90" i="19"/>
  <c r="AK90" i="19"/>
  <c r="AL90" i="19"/>
  <c r="Y91" i="19"/>
  <c r="AO72" i="19"/>
  <c r="AP72" i="19"/>
  <c r="AO31" i="19"/>
  <c r="AP31" i="19"/>
  <c r="AD385" i="15"/>
  <c r="AE385" i="15"/>
  <c r="AD381" i="15"/>
  <c r="AE381" i="15"/>
  <c r="AI383" i="15"/>
  <c r="AL383" i="15"/>
  <c r="AM383" i="15"/>
  <c r="S377" i="15"/>
  <c r="V377" i="15"/>
  <c r="W377" i="15"/>
  <c r="Z374" i="15"/>
  <c r="AA374" i="15"/>
  <c r="AL378" i="15"/>
  <c r="AM378" i="15"/>
  <c r="AD379" i="15"/>
  <c r="AE379" i="15"/>
  <c r="Z386" i="15"/>
  <c r="AA386" i="15"/>
  <c r="Z348" i="15"/>
  <c r="AA348" i="15"/>
  <c r="AH349" i="15"/>
  <c r="Z351" i="15"/>
  <c r="AA351" i="15"/>
  <c r="AL356" i="15"/>
  <c r="AM356" i="15"/>
  <c r="AD357" i="15"/>
  <c r="AE357" i="15"/>
  <c r="Z353" i="15"/>
  <c r="AD315" i="15"/>
  <c r="AE315" i="15"/>
  <c r="N263" i="15"/>
  <c r="O263" i="15"/>
  <c r="N217" i="15"/>
  <c r="O217" i="15"/>
  <c r="AC132" i="19"/>
  <c r="AK132" i="19"/>
  <c r="AL132" i="19"/>
  <c r="AO135" i="19"/>
  <c r="AP135" i="19"/>
  <c r="AK144" i="19"/>
  <c r="AL144" i="19"/>
  <c r="AS137" i="19"/>
  <c r="AT137" i="19"/>
  <c r="AS134" i="19"/>
  <c r="AT134" i="19"/>
  <c r="AS139" i="19"/>
  <c r="AT139" i="19"/>
  <c r="AS143" i="19"/>
  <c r="AT143" i="19"/>
  <c r="AO141" i="19"/>
  <c r="AP141" i="19"/>
  <c r="AS142" i="19"/>
  <c r="AT142" i="19"/>
  <c r="AS113" i="19"/>
  <c r="AT113" i="19"/>
  <c r="AS123" i="19"/>
  <c r="AT123" i="19"/>
  <c r="AS118" i="19"/>
  <c r="AT118" i="19"/>
  <c r="AO119" i="19"/>
  <c r="AP119" i="19"/>
  <c r="AS122" i="19"/>
  <c r="AT122" i="19"/>
  <c r="AS120" i="19"/>
  <c r="AT120" i="19"/>
  <c r="AC91" i="19"/>
  <c r="AO92" i="19"/>
  <c r="AP92" i="19"/>
  <c r="AS72" i="19"/>
  <c r="AT72" i="19"/>
  <c r="AS70" i="19"/>
  <c r="AT70" i="19"/>
  <c r="AO71" i="19"/>
  <c r="AP71" i="19"/>
  <c r="AO29" i="19"/>
  <c r="AP29" i="19"/>
  <c r="AD401" i="15"/>
  <c r="AE401" i="15"/>
  <c r="AH379" i="15"/>
  <c r="AL382" i="15"/>
  <c r="AM382" i="15"/>
  <c r="AH381" i="15"/>
  <c r="AI381" i="15"/>
  <c r="AH385" i="15"/>
  <c r="Z377" i="15"/>
  <c r="AA377" i="15"/>
  <c r="AD351" i="15"/>
  <c r="AE351" i="15"/>
  <c r="Z355" i="15"/>
  <c r="AI349" i="15"/>
  <c r="AA353" i="15"/>
  <c r="AD352" i="15"/>
  <c r="AE352" i="15"/>
  <c r="AD348" i="15"/>
  <c r="AE348" i="15"/>
  <c r="AH315" i="15"/>
  <c r="AI315" i="15"/>
  <c r="AS136" i="19"/>
  <c r="AT136" i="19"/>
  <c r="AS135" i="19"/>
  <c r="AT135" i="19"/>
  <c r="AS133" i="19"/>
  <c r="AT133" i="19"/>
  <c r="AS141" i="19"/>
  <c r="AT141" i="19"/>
  <c r="AS131" i="19"/>
  <c r="AT131" i="19"/>
  <c r="AS140" i="19"/>
  <c r="AT140" i="19"/>
  <c r="AS119" i="19"/>
  <c r="AT119" i="19"/>
  <c r="AS90" i="19"/>
  <c r="AT90" i="19"/>
  <c r="AK91" i="19"/>
  <c r="AL91" i="19"/>
  <c r="AD91" i="19"/>
  <c r="AS71" i="19"/>
  <c r="AT71" i="19"/>
  <c r="AS51" i="19"/>
  <c r="AT51" i="19"/>
  <c r="AS29" i="19"/>
  <c r="AT29" i="19"/>
  <c r="AH401" i="15"/>
  <c r="AI401" i="15"/>
  <c r="AH380" i="15"/>
  <c r="AI380" i="15"/>
  <c r="AH386" i="15"/>
  <c r="AD377" i="15"/>
  <c r="AE377" i="15"/>
  <c r="AH384" i="15"/>
  <c r="AI384" i="15"/>
  <c r="AH374" i="15"/>
  <c r="AI374" i="15"/>
  <c r="AL381" i="15"/>
  <c r="AM381" i="15"/>
  <c r="AI385" i="15"/>
  <c r="AI379" i="15"/>
  <c r="AL347" i="15"/>
  <c r="AM347" i="15"/>
  <c r="AH348" i="15"/>
  <c r="AI348" i="15"/>
  <c r="AA355" i="15"/>
  <c r="AH354" i="15"/>
  <c r="AI354" i="15"/>
  <c r="AH353" i="15"/>
  <c r="AI353" i="15"/>
  <c r="AD350" i="15"/>
  <c r="AE350" i="15"/>
  <c r="AA350" i="15"/>
  <c r="AL357" i="15"/>
  <c r="AM357" i="15"/>
  <c r="AH358" i="15"/>
  <c r="AL315" i="15"/>
  <c r="AM315" i="15"/>
  <c r="AH314" i="15"/>
  <c r="AI314" i="15"/>
  <c r="AS144" i="19"/>
  <c r="AT144" i="19"/>
  <c r="AO91" i="19"/>
  <c r="AP91" i="19"/>
  <c r="AS49" i="19"/>
  <c r="AT49" i="19"/>
  <c r="AL384" i="15"/>
  <c r="AM384" i="15"/>
  <c r="AH377" i="15"/>
  <c r="AL374" i="15"/>
  <c r="AM374" i="15"/>
  <c r="AI386" i="15"/>
  <c r="AL386" i="15"/>
  <c r="AM386" i="15"/>
  <c r="AH355" i="15"/>
  <c r="AI355" i="15"/>
  <c r="AH350" i="15"/>
  <c r="AI350" i="15"/>
  <c r="AI358" i="15"/>
  <c r="AL351" i="15"/>
  <c r="AM351" i="15"/>
  <c r="AS91" i="19"/>
  <c r="AT91" i="19"/>
  <c r="AI377" i="15"/>
  <c r="AL377" i="15"/>
  <c r="AM377" i="15"/>
  <c r="AL355" i="15"/>
  <c r="AM355" i="15"/>
  <c r="Y131" i="19"/>
  <c r="AC131" i="19"/>
  <c r="AK131" i="19"/>
  <c r="AL131" i="19"/>
  <c r="T131" i="19"/>
  <c r="X117" i="19"/>
  <c r="Z117" i="19"/>
  <c r="AB114" i="19"/>
  <c r="T114" i="19"/>
  <c r="AK111" i="19"/>
  <c r="AL111" i="19"/>
  <c r="AB116" i="19"/>
  <c r="AB112" i="19"/>
  <c r="AS31" i="19"/>
  <c r="AT31" i="19"/>
  <c r="U29" i="19"/>
  <c r="Z403" i="15"/>
  <c r="AA403" i="15"/>
  <c r="AD386" i="15"/>
  <c r="AE386" i="15"/>
  <c r="AG375" i="15"/>
  <c r="AC375" i="15"/>
  <c r="Z376" i="15"/>
  <c r="AA376" i="15"/>
  <c r="Q378" i="15"/>
  <c r="Z388" i="15"/>
  <c r="AA388" i="15"/>
  <c r="U376" i="15"/>
  <c r="U383" i="15"/>
  <c r="AH352" i="15"/>
  <c r="AI352" i="15"/>
  <c r="AL349" i="15"/>
  <c r="AM349" i="15"/>
  <c r="U357" i="15"/>
  <c r="AK348" i="15"/>
  <c r="AC353" i="15"/>
  <c r="Q350" i="15"/>
  <c r="Q349" i="15"/>
  <c r="Z352" i="15"/>
  <c r="AA352" i="15"/>
  <c r="V348" i="15"/>
  <c r="W348" i="15"/>
  <c r="Q352" i="15"/>
  <c r="AC316" i="15"/>
  <c r="V228" i="15"/>
  <c r="W228" i="15"/>
  <c r="Q226" i="15"/>
  <c r="R225" i="15"/>
  <c r="S225" i="15"/>
  <c r="Z222" i="15"/>
  <c r="AA222" i="15"/>
  <c r="R222" i="15"/>
  <c r="S222" i="15"/>
  <c r="AH225" i="15"/>
  <c r="AI225" i="15"/>
  <c r="P93" i="15"/>
  <c r="R93" i="15"/>
  <c r="S93" i="15"/>
  <c r="P64" i="15"/>
  <c r="Q64" i="15"/>
  <c r="R64" i="15"/>
  <c r="S64" i="15"/>
  <c r="Q66" i="15"/>
  <c r="V63" i="15"/>
  <c r="W63" i="15"/>
  <c r="R263" i="15"/>
  <c r="O264" i="15"/>
  <c r="R264" i="15"/>
  <c r="S264" i="15"/>
  <c r="N219" i="15"/>
  <c r="O219" i="15"/>
  <c r="O63" i="15"/>
  <c r="N186" i="15"/>
  <c r="O186" i="15"/>
  <c r="E188" i="15"/>
  <c r="N188" i="15"/>
  <c r="O188" i="15"/>
  <c r="N64" i="15"/>
  <c r="O64" i="15"/>
  <c r="E190" i="15"/>
  <c r="N190" i="15"/>
  <c r="O190" i="15"/>
  <c r="O187" i="15"/>
  <c r="R187" i="15"/>
  <c r="S187" i="15"/>
  <c r="O189" i="15"/>
  <c r="R189" i="15"/>
  <c r="S189" i="15"/>
  <c r="R138" i="15"/>
  <c r="S138" i="15"/>
  <c r="S263" i="15"/>
  <c r="V263" i="15"/>
  <c r="V264" i="15"/>
  <c r="W264" i="15"/>
  <c r="R219" i="15"/>
  <c r="S219" i="15"/>
  <c r="R188" i="15"/>
  <c r="S188" i="15"/>
  <c r="R190" i="15"/>
  <c r="S190" i="15"/>
  <c r="R62" i="15"/>
  <c r="S62" i="15"/>
  <c r="Z264" i="15"/>
  <c r="AA264" i="15"/>
  <c r="W263" i="15"/>
  <c r="Z263" i="15"/>
  <c r="AA263" i="15"/>
  <c r="V188" i="15"/>
  <c r="W188" i="15"/>
  <c r="V62" i="15"/>
  <c r="W62" i="15"/>
  <c r="Z189" i="15"/>
  <c r="AA189" i="15"/>
  <c r="V190" i="15"/>
  <c r="W190" i="15"/>
  <c r="V186" i="15"/>
  <c r="W186" i="15"/>
  <c r="AD263" i="15"/>
  <c r="AE263" i="15"/>
  <c r="Z138" i="15"/>
  <c r="AA138" i="15"/>
  <c r="Z62" i="15"/>
  <c r="AA62" i="15"/>
  <c r="Z188" i="15"/>
  <c r="AA188" i="15"/>
  <c r="AD189" i="15"/>
  <c r="AH61" i="15"/>
  <c r="AI61" i="15"/>
  <c r="AL137" i="15"/>
  <c r="AM137" i="15"/>
  <c r="AD138" i="15"/>
  <c r="AE138" i="15"/>
  <c r="AH218" i="15"/>
  <c r="AI218" i="15"/>
  <c r="AL61" i="15"/>
  <c r="AM61" i="15"/>
  <c r="AL63" i="15"/>
  <c r="AM63" i="15"/>
  <c r="AA190" i="15"/>
  <c r="AD190" i="15"/>
  <c r="AE190" i="15"/>
  <c r="AH187" i="15"/>
  <c r="AI187" i="15"/>
  <c r="AE189" i="15"/>
  <c r="AL263" i="15"/>
  <c r="AM263" i="15"/>
  <c r="AH219" i="15"/>
  <c r="AI219" i="15"/>
  <c r="AH188" i="15"/>
  <c r="AI188" i="15"/>
  <c r="AL189" i="15"/>
  <c r="AM189" i="15"/>
  <c r="AH190" i="15"/>
  <c r="AI190" i="15"/>
  <c r="AL93" i="15"/>
  <c r="AM93" i="15"/>
  <c r="AL188" i="15"/>
  <c r="AM188" i="15"/>
  <c r="AL190" i="15"/>
  <c r="AM190" i="15"/>
  <c r="AL186" i="15"/>
  <c r="AM186" i="15"/>
  <c r="AL64" i="15"/>
  <c r="AM64" i="15"/>
  <c r="K37" i="21"/>
  <c r="K137" i="21"/>
  <c r="L147" i="21"/>
  <c r="J151" i="21"/>
  <c r="N151" i="21"/>
  <c r="J152" i="21"/>
  <c r="I70" i="21"/>
  <c r="M147" i="21"/>
  <c r="P102" i="21"/>
  <c r="Q102" i="21"/>
  <c r="D103" i="21"/>
  <c r="N114" i="21"/>
  <c r="L151" i="21"/>
  <c r="H151" i="21"/>
  <c r="M136" i="21"/>
  <c r="K151" i="21"/>
  <c r="L81" i="21"/>
  <c r="D70" i="21"/>
  <c r="D82" i="21"/>
  <c r="P82" i="21"/>
  <c r="Q82" i="21"/>
  <c r="H152" i="21"/>
  <c r="P80" i="21"/>
  <c r="Q80" i="21"/>
  <c r="M151" i="21"/>
  <c r="N70" i="21"/>
  <c r="N82" i="21"/>
  <c r="P69" i="21"/>
  <c r="Q69" i="21"/>
  <c r="E48" i="21"/>
  <c r="D147" i="21"/>
  <c r="M37" i="21"/>
  <c r="B198" i="16"/>
  <c r="D21" i="18"/>
  <c r="B148" i="3"/>
  <c r="V178" i="15"/>
  <c r="W178" i="15"/>
  <c r="H28" i="22"/>
  <c r="J127" i="13"/>
  <c r="H25" i="22"/>
  <c r="J114" i="13"/>
  <c r="D49" i="16"/>
  <c r="D51" i="16"/>
  <c r="H26" i="22"/>
  <c r="J125" i="13"/>
  <c r="J115" i="13"/>
  <c r="J139" i="16"/>
  <c r="J126" i="13"/>
  <c r="J116" i="13"/>
  <c r="J129" i="13"/>
  <c r="J119" i="13"/>
  <c r="C48" i="13"/>
  <c r="I23" i="15"/>
  <c r="H24" i="22"/>
  <c r="J113" i="13"/>
  <c r="H23" i="15"/>
  <c r="F26" i="18"/>
  <c r="G24" i="21"/>
  <c r="G57" i="21"/>
  <c r="H23" i="22"/>
  <c r="J112" i="13"/>
  <c r="C44" i="13"/>
  <c r="E23" i="15"/>
  <c r="E59" i="15"/>
  <c r="B6" i="4"/>
  <c r="B101" i="16"/>
  <c r="C73" i="13"/>
  <c r="C45" i="13"/>
  <c r="C57" i="13"/>
  <c r="C59" i="13"/>
  <c r="J118" i="13"/>
  <c r="C87" i="13"/>
  <c r="C60" i="13"/>
  <c r="C74" i="13"/>
  <c r="C56" i="13"/>
  <c r="C83" i="13"/>
  <c r="H59" i="15"/>
  <c r="I110" i="19"/>
  <c r="I130" i="19"/>
  <c r="C84" i="13"/>
  <c r="C71" i="13"/>
  <c r="I28" i="19"/>
  <c r="I48" i="19"/>
  <c r="AC62" i="15"/>
  <c r="AC188" i="15"/>
  <c r="AD188" i="15"/>
  <c r="AE188" i="15"/>
  <c r="AH222" i="15"/>
  <c r="AI222" i="15"/>
  <c r="AG222" i="15"/>
  <c r="AK300" i="15"/>
  <c r="AL300" i="15"/>
  <c r="AM300" i="15"/>
  <c r="AG258" i="15"/>
  <c r="AH258" i="15"/>
  <c r="AI258" i="15"/>
  <c r="AL298" i="15"/>
  <c r="AM298" i="15"/>
  <c r="AK298" i="15"/>
  <c r="AN132" i="19"/>
  <c r="AO132" i="19"/>
  <c r="AP132" i="19"/>
  <c r="AN136" i="19"/>
  <c r="AO136" i="19"/>
  <c r="AP136" i="19"/>
  <c r="AC220" i="15"/>
  <c r="AH201" i="15"/>
  <c r="AI201" i="15"/>
  <c r="AG201" i="15"/>
  <c r="AG205" i="15"/>
  <c r="AH205" i="15"/>
  <c r="AI205" i="15"/>
  <c r="U289" i="15"/>
  <c r="V289" i="15"/>
  <c r="W289" i="15"/>
  <c r="AK60" i="15"/>
  <c r="AL60" i="15"/>
  <c r="AM60" i="15"/>
  <c r="AG60" i="15"/>
  <c r="AH60" i="15"/>
  <c r="AI60" i="15"/>
  <c r="AL178" i="15"/>
  <c r="AM178" i="15"/>
  <c r="AK178" i="15"/>
  <c r="AH232" i="15"/>
  <c r="AI232" i="15"/>
  <c r="AG232" i="15"/>
  <c r="Z375" i="15"/>
  <c r="AA375" i="15"/>
  <c r="Y375" i="15"/>
  <c r="AD355" i="15"/>
  <c r="AE355" i="15"/>
  <c r="AC355" i="15"/>
  <c r="AC374" i="15"/>
  <c r="AK303" i="15"/>
  <c r="AL303" i="15"/>
  <c r="AM303" i="15"/>
  <c r="AL76" i="15"/>
  <c r="AM76" i="15"/>
  <c r="AK76" i="15"/>
  <c r="R315" i="15"/>
  <c r="S315" i="15"/>
  <c r="Q315" i="15"/>
  <c r="AD267" i="15"/>
  <c r="AE267" i="15"/>
  <c r="AC267" i="15"/>
  <c r="Q178" i="15"/>
  <c r="R178" i="15"/>
  <c r="S178" i="15"/>
  <c r="AK380" i="15"/>
  <c r="AL380" i="15"/>
  <c r="AM380" i="15"/>
  <c r="AC111" i="15"/>
  <c r="AD111" i="15"/>
  <c r="AE111" i="15"/>
  <c r="X82" i="19"/>
  <c r="Y82" i="19"/>
  <c r="AC82" i="19"/>
  <c r="AD82" i="19"/>
  <c r="AS132" i="19"/>
  <c r="AT132" i="19"/>
  <c r="AL91" i="15"/>
  <c r="AM91" i="15"/>
  <c r="AK91" i="15"/>
  <c r="AL226" i="15"/>
  <c r="AM226" i="15"/>
  <c r="AK226" i="15"/>
  <c r="AH277" i="15"/>
  <c r="AI277" i="15"/>
  <c r="AD74" i="15"/>
  <c r="AE74" i="15"/>
  <c r="AD259" i="15"/>
  <c r="AE259" i="15"/>
  <c r="AC259" i="15"/>
  <c r="Z224" i="15"/>
  <c r="AA224" i="15"/>
  <c r="Y224" i="15"/>
  <c r="Y293" i="15"/>
  <c r="Z293" i="15"/>
  <c r="AA293" i="15"/>
  <c r="Y294" i="15"/>
  <c r="Z294" i="15"/>
  <c r="AA294" i="15"/>
  <c r="Y409" i="15"/>
  <c r="Z409" i="15"/>
  <c r="AA409" i="15"/>
  <c r="AD388" i="15"/>
  <c r="AE388" i="15"/>
  <c r="AC388" i="15"/>
  <c r="AO52" i="19"/>
  <c r="AP52" i="19"/>
  <c r="AK237" i="15"/>
  <c r="AL237" i="15"/>
  <c r="AM237" i="15"/>
  <c r="AH195" i="15"/>
  <c r="AI195" i="15"/>
  <c r="AG195" i="15"/>
  <c r="AC67" i="15"/>
  <c r="AD67" i="15"/>
  <c r="AE67" i="15"/>
  <c r="R63" i="15"/>
  <c r="S63" i="15"/>
  <c r="AL358" i="15"/>
  <c r="AM358" i="15"/>
  <c r="AH63" i="15"/>
  <c r="AI63" i="15"/>
  <c r="AG63" i="15"/>
  <c r="AH64" i="15"/>
  <c r="AI64" i="15"/>
  <c r="AG64" i="15"/>
  <c r="U315" i="15"/>
  <c r="V315" i="15"/>
  <c r="W315" i="15"/>
  <c r="Y383" i="15"/>
  <c r="Z383" i="15"/>
  <c r="AA383" i="15"/>
  <c r="AC232" i="15"/>
  <c r="AL288" i="15"/>
  <c r="AM288" i="15"/>
  <c r="AK288" i="15"/>
  <c r="AH198" i="15"/>
  <c r="AI198" i="15"/>
  <c r="AG198" i="15"/>
  <c r="AH78" i="15"/>
  <c r="AI78" i="15"/>
  <c r="AL108" i="15"/>
  <c r="AM108" i="15"/>
  <c r="AK108" i="15"/>
  <c r="AC76" i="15"/>
  <c r="U272" i="15"/>
  <c r="V272" i="15"/>
  <c r="W272" i="15"/>
  <c r="Y230" i="15"/>
  <c r="Z230" i="15"/>
  <c r="AA230" i="15"/>
  <c r="R232" i="15"/>
  <c r="S232" i="15"/>
  <c r="Q232" i="15"/>
  <c r="Y74" i="15"/>
  <c r="Z74" i="15"/>
  <c r="AA74" i="15"/>
  <c r="AL187" i="15"/>
  <c r="AM187" i="15"/>
  <c r="AL350" i="15"/>
  <c r="AM350" i="15"/>
  <c r="AH357" i="15"/>
  <c r="AI357" i="15"/>
  <c r="AO51" i="19"/>
  <c r="AP51" i="19"/>
  <c r="R61" i="15"/>
  <c r="S61" i="15"/>
  <c r="AG217" i="15"/>
  <c r="AK352" i="15"/>
  <c r="AL375" i="15"/>
  <c r="AM375" i="15"/>
  <c r="AK375" i="15"/>
  <c r="AG347" i="15"/>
  <c r="AN30" i="19"/>
  <c r="AO30" i="19"/>
  <c r="AP30" i="19"/>
  <c r="U189" i="15"/>
  <c r="V189" i="15"/>
  <c r="W189" i="15"/>
  <c r="V356" i="15"/>
  <c r="W356" i="15"/>
  <c r="AL234" i="15"/>
  <c r="AM234" i="15"/>
  <c r="AH261" i="15"/>
  <c r="AI261" i="15"/>
  <c r="AK277" i="15"/>
  <c r="AL277" i="15"/>
  <c r="AM277" i="15"/>
  <c r="AK279" i="15"/>
  <c r="AL279" i="15"/>
  <c r="AM279" i="15"/>
  <c r="AG244" i="15"/>
  <c r="AH244" i="15"/>
  <c r="AI244" i="15"/>
  <c r="K661" i="15"/>
  <c r="K304" i="15"/>
  <c r="AF304" i="15"/>
  <c r="AG302" i="15"/>
  <c r="AH302" i="15"/>
  <c r="AI302" i="15"/>
  <c r="AC282" i="15"/>
  <c r="AK70" i="15"/>
  <c r="AL70" i="15"/>
  <c r="AM70" i="15"/>
  <c r="AK101" i="15"/>
  <c r="AL101" i="15"/>
  <c r="AM101" i="15"/>
  <c r="AG140" i="15"/>
  <c r="AK172" i="15"/>
  <c r="AL172" i="15"/>
  <c r="AM172" i="15"/>
  <c r="AC253" i="15"/>
  <c r="AD253" i="15"/>
  <c r="AE253" i="15"/>
  <c r="AG159" i="15"/>
  <c r="AG163" i="15"/>
  <c r="J537" i="15"/>
  <c r="J178" i="15"/>
  <c r="AB178" i="15"/>
  <c r="AG130" i="15"/>
  <c r="AH130" i="15"/>
  <c r="AI130" i="15"/>
  <c r="V266" i="15"/>
  <c r="W266" i="15"/>
  <c r="U266" i="15"/>
  <c r="V270" i="15"/>
  <c r="W270" i="15"/>
  <c r="U270" i="15"/>
  <c r="Y195" i="15"/>
  <c r="Z195" i="15"/>
  <c r="AA195" i="15"/>
  <c r="H661" i="15"/>
  <c r="H304" i="15"/>
  <c r="T304" i="15"/>
  <c r="V304" i="15"/>
  <c r="AK92" i="15"/>
  <c r="AL92" i="15"/>
  <c r="AM92" i="15"/>
  <c r="AL301" i="15"/>
  <c r="AM301" i="15"/>
  <c r="AK301" i="15"/>
  <c r="AH275" i="15"/>
  <c r="AI275" i="15"/>
  <c r="AG275" i="15"/>
  <c r="AC70" i="15"/>
  <c r="AD70" i="15"/>
  <c r="AE70" i="15"/>
  <c r="AJ81" i="19"/>
  <c r="AL264" i="15"/>
  <c r="AM264" i="15"/>
  <c r="AK264" i="15"/>
  <c r="AG263" i="15"/>
  <c r="AH263" i="15"/>
  <c r="AI263" i="15"/>
  <c r="AJ29" i="19"/>
  <c r="AK141" i="15"/>
  <c r="AL141" i="15"/>
  <c r="AM141" i="15"/>
  <c r="Y266" i="15"/>
  <c r="Z266" i="15"/>
  <c r="AA266" i="15"/>
  <c r="AH171" i="15"/>
  <c r="AI171" i="15"/>
  <c r="AG171" i="15"/>
  <c r="Q78" i="15"/>
  <c r="R78" i="15"/>
  <c r="S78" i="15"/>
  <c r="Y84" i="15"/>
  <c r="Z84" i="15"/>
  <c r="AA84" i="15"/>
  <c r="AG92" i="15"/>
  <c r="AH264" i="15"/>
  <c r="AI264" i="15"/>
  <c r="AG264" i="15"/>
  <c r="Y358" i="15"/>
  <c r="Z358" i="15"/>
  <c r="AA358" i="15"/>
  <c r="AN111" i="19"/>
  <c r="AN138" i="19"/>
  <c r="AO138" i="19"/>
  <c r="AP138" i="19"/>
  <c r="I573" i="15"/>
  <c r="I216" i="15"/>
  <c r="AH272" i="15"/>
  <c r="AI272" i="15"/>
  <c r="AG272" i="15"/>
  <c r="AK214" i="15"/>
  <c r="AL214" i="15"/>
  <c r="AM214" i="15"/>
  <c r="AK245" i="15"/>
  <c r="AL245" i="15"/>
  <c r="AM245" i="15"/>
  <c r="AL253" i="15"/>
  <c r="AM253" i="15"/>
  <c r="AK253" i="15"/>
  <c r="AD270" i="15"/>
  <c r="AE270" i="15"/>
  <c r="AC270" i="15"/>
  <c r="AH226" i="15"/>
  <c r="AI226" i="15"/>
  <c r="AG226" i="15"/>
  <c r="AC237" i="15"/>
  <c r="AD237" i="15"/>
  <c r="AE237" i="15"/>
  <c r="AG293" i="15"/>
  <c r="AH293" i="15"/>
  <c r="AI293" i="15"/>
  <c r="AH70" i="15"/>
  <c r="AI70" i="15"/>
  <c r="AG70" i="15"/>
  <c r="U355" i="15"/>
  <c r="V355" i="15"/>
  <c r="W355" i="15"/>
  <c r="E100" i="18"/>
  <c r="AK194" i="15"/>
  <c r="AL194" i="15"/>
  <c r="AM194" i="15"/>
  <c r="Y274" i="15"/>
  <c r="Z274" i="15"/>
  <c r="AA274" i="15"/>
  <c r="AL366" i="15"/>
  <c r="AM366" i="15"/>
  <c r="AK366" i="15"/>
  <c r="AS98" i="19"/>
  <c r="AT98" i="19"/>
  <c r="AR98" i="19"/>
  <c r="AC187" i="15"/>
  <c r="AS92" i="19"/>
  <c r="AT92" i="19"/>
  <c r="AR92" i="19"/>
  <c r="AD290" i="15"/>
  <c r="AE290" i="15"/>
  <c r="AC290" i="15"/>
  <c r="AH292" i="15"/>
  <c r="AI292" i="15"/>
  <c r="AG292" i="15"/>
  <c r="AH301" i="15"/>
  <c r="AI301" i="15"/>
  <c r="AG301" i="15"/>
  <c r="V249" i="15"/>
  <c r="W249" i="15"/>
  <c r="AC164" i="15"/>
  <c r="AD164" i="15"/>
  <c r="AE164" i="15"/>
  <c r="AC167" i="15"/>
  <c r="AD167" i="15"/>
  <c r="AE167" i="15"/>
  <c r="V149" i="15"/>
  <c r="W149" i="15"/>
  <c r="U149" i="15"/>
  <c r="U91" i="15"/>
  <c r="V91" i="15"/>
  <c r="W91" i="15"/>
  <c r="F23" i="15"/>
  <c r="F59" i="15"/>
  <c r="AD384" i="15"/>
  <c r="AE384" i="15"/>
  <c r="E82" i="21"/>
  <c r="E81" i="21"/>
  <c r="AG376" i="15"/>
  <c r="AH376" i="15"/>
  <c r="AI376" i="15"/>
  <c r="AN144" i="19"/>
  <c r="AO144" i="19"/>
  <c r="AP144" i="19"/>
  <c r="AL231" i="15"/>
  <c r="AM231" i="15"/>
  <c r="L661" i="15"/>
  <c r="L304" i="15"/>
  <c r="AJ304" i="15"/>
  <c r="AL304" i="15"/>
  <c r="AK113" i="15"/>
  <c r="AD241" i="15"/>
  <c r="AE241" i="15"/>
  <c r="AK291" i="15"/>
  <c r="AL291" i="15"/>
  <c r="AM291" i="15"/>
  <c r="AH282" i="15"/>
  <c r="AI282" i="15"/>
  <c r="AK158" i="15"/>
  <c r="AL158" i="15"/>
  <c r="AM158" i="15"/>
  <c r="AH269" i="15"/>
  <c r="AI269" i="15"/>
  <c r="AG269" i="15"/>
  <c r="AG271" i="15"/>
  <c r="AH271" i="15"/>
  <c r="AI271" i="15"/>
  <c r="AD194" i="15"/>
  <c r="AE194" i="15"/>
  <c r="AH212" i="15"/>
  <c r="AI212" i="15"/>
  <c r="AG212" i="15"/>
  <c r="AK139" i="15"/>
  <c r="AL139" i="15"/>
  <c r="AM139" i="15"/>
  <c r="K537" i="15"/>
  <c r="K178" i="15"/>
  <c r="AF178" i="15"/>
  <c r="AH178" i="15"/>
  <c r="AK156" i="15"/>
  <c r="AL156" i="15"/>
  <c r="AM156" i="15"/>
  <c r="AK152" i="15"/>
  <c r="AL152" i="15"/>
  <c r="AM152" i="15"/>
  <c r="Z253" i="15"/>
  <c r="AA253" i="15"/>
  <c r="Y253" i="15"/>
  <c r="Y245" i="15"/>
  <c r="Z245" i="15"/>
  <c r="AA245" i="15"/>
  <c r="AG100" i="15"/>
  <c r="AH100" i="15"/>
  <c r="AI100" i="15"/>
  <c r="J516" i="15"/>
  <c r="J157" i="15"/>
  <c r="AB157" i="15"/>
  <c r="AC146" i="15"/>
  <c r="AD146" i="15"/>
  <c r="AE146" i="15"/>
  <c r="AL218" i="15"/>
  <c r="AM218" i="15"/>
  <c r="AS30" i="19"/>
  <c r="AT30" i="19"/>
  <c r="AH382" i="15"/>
  <c r="AI382" i="15"/>
  <c r="AL266" i="15"/>
  <c r="AM266" i="15"/>
  <c r="AK223" i="15"/>
  <c r="AL223" i="15"/>
  <c r="AM223" i="15"/>
  <c r="AC244" i="15"/>
  <c r="Y255" i="15"/>
  <c r="Z255" i="15"/>
  <c r="AA255" i="15"/>
  <c r="AG110" i="15"/>
  <c r="AH110" i="15"/>
  <c r="AI110" i="15"/>
  <c r="AC104" i="15"/>
  <c r="AD104" i="15"/>
  <c r="AE104" i="15"/>
  <c r="AC139" i="15"/>
  <c r="AD139" i="15"/>
  <c r="AE139" i="15"/>
  <c r="AC168" i="15"/>
  <c r="AD168" i="15"/>
  <c r="AE168" i="15"/>
  <c r="Q401" i="15"/>
  <c r="R401" i="15"/>
  <c r="S401" i="15"/>
  <c r="T119" i="19"/>
  <c r="V119" i="19"/>
  <c r="U119" i="19"/>
  <c r="AK198" i="15"/>
  <c r="AL198" i="15"/>
  <c r="AM198" i="15"/>
  <c r="AG237" i="15"/>
  <c r="AH237" i="15"/>
  <c r="AI237" i="15"/>
  <c r="AG245" i="15"/>
  <c r="AH245" i="15"/>
  <c r="AI245" i="15"/>
  <c r="AK106" i="15"/>
  <c r="AL106" i="15"/>
  <c r="AM106" i="15"/>
  <c r="AK164" i="15"/>
  <c r="AL164" i="15"/>
  <c r="AM164" i="15"/>
  <c r="AD279" i="15"/>
  <c r="AE279" i="15"/>
  <c r="AC279" i="15"/>
  <c r="AC296" i="15"/>
  <c r="AD296" i="15"/>
  <c r="AE296" i="15"/>
  <c r="AG106" i="15"/>
  <c r="AH106" i="15"/>
  <c r="AI106" i="15"/>
  <c r="AG97" i="15"/>
  <c r="AH97" i="15"/>
  <c r="AI97" i="15"/>
  <c r="AH139" i="15"/>
  <c r="AI139" i="15"/>
  <c r="AG139" i="15"/>
  <c r="AD124" i="15"/>
  <c r="AE124" i="15"/>
  <c r="AC124" i="15"/>
  <c r="U236" i="15"/>
  <c r="V236" i="15"/>
  <c r="W236" i="15"/>
  <c r="Y273" i="15"/>
  <c r="Z273" i="15"/>
  <c r="AA273" i="15"/>
  <c r="U244" i="15"/>
  <c r="V244" i="15"/>
  <c r="W244" i="15"/>
  <c r="AD65" i="15"/>
  <c r="AE65" i="15"/>
  <c r="AC65" i="15"/>
  <c r="AD69" i="15"/>
  <c r="AE69" i="15"/>
  <c r="AC69" i="15"/>
  <c r="U108" i="15"/>
  <c r="V108" i="15"/>
  <c r="W108" i="15"/>
  <c r="U112" i="15"/>
  <c r="V112" i="15"/>
  <c r="W112" i="15"/>
  <c r="U161" i="15"/>
  <c r="V161" i="15"/>
  <c r="W161" i="15"/>
  <c r="AG303" i="15"/>
  <c r="AH303" i="15"/>
  <c r="AI303" i="15"/>
  <c r="AK72" i="15"/>
  <c r="AL72" i="15"/>
  <c r="AM72" i="15"/>
  <c r="AK77" i="15"/>
  <c r="AL77" i="15"/>
  <c r="AM77" i="15"/>
  <c r="AK109" i="15"/>
  <c r="AL109" i="15"/>
  <c r="AM109" i="15"/>
  <c r="AK159" i="15"/>
  <c r="AL159" i="15"/>
  <c r="AM159" i="15"/>
  <c r="AH172" i="15"/>
  <c r="AI172" i="15"/>
  <c r="AG172" i="15"/>
  <c r="Y226" i="15"/>
  <c r="Z226" i="15"/>
  <c r="AA226" i="15"/>
  <c r="U252" i="15"/>
  <c r="V252" i="15"/>
  <c r="W252" i="15"/>
  <c r="U261" i="15"/>
  <c r="V261" i="15"/>
  <c r="W261" i="15"/>
  <c r="AC75" i="15"/>
  <c r="AD75" i="15"/>
  <c r="AE75" i="15"/>
  <c r="R275" i="15"/>
  <c r="S275" i="15"/>
  <c r="Q275" i="15"/>
  <c r="R214" i="15"/>
  <c r="S214" i="15"/>
  <c r="Q214" i="15"/>
  <c r="Q273" i="15"/>
  <c r="R273" i="15"/>
  <c r="S273" i="15"/>
  <c r="U74" i="15"/>
  <c r="V74" i="15"/>
  <c r="W74" i="15"/>
  <c r="AC84" i="15"/>
  <c r="AD84" i="15"/>
  <c r="AE84" i="15"/>
  <c r="AL219" i="15"/>
  <c r="AM219" i="15"/>
  <c r="AJ50" i="19"/>
  <c r="AK202" i="15"/>
  <c r="AH289" i="15"/>
  <c r="AI289" i="15"/>
  <c r="AH270" i="15"/>
  <c r="AI270" i="15"/>
  <c r="AG270" i="15"/>
  <c r="AK191" i="15"/>
  <c r="AL191" i="15"/>
  <c r="AM191" i="15"/>
  <c r="AH197" i="15"/>
  <c r="AI197" i="15"/>
  <c r="AL196" i="15"/>
  <c r="AM196" i="15"/>
  <c r="AK196" i="15"/>
  <c r="AH273" i="15"/>
  <c r="AI273" i="15"/>
  <c r="AG255" i="15"/>
  <c r="AH255" i="15"/>
  <c r="AI255" i="15"/>
  <c r="AK140" i="15"/>
  <c r="AL140" i="15"/>
  <c r="AM140" i="15"/>
  <c r="AK98" i="15"/>
  <c r="AL98" i="15"/>
  <c r="AM98" i="15"/>
  <c r="AG135" i="15"/>
  <c r="AH135" i="15"/>
  <c r="AI135" i="15"/>
  <c r="U237" i="15"/>
  <c r="V237" i="15"/>
  <c r="W237" i="15"/>
  <c r="Y208" i="15"/>
  <c r="Z208" i="15"/>
  <c r="AA208" i="15"/>
  <c r="AL201" i="15"/>
  <c r="AM201" i="15"/>
  <c r="Z267" i="15"/>
  <c r="AA267" i="15"/>
  <c r="AD226" i="15"/>
  <c r="AE226" i="15"/>
  <c r="AH73" i="15"/>
  <c r="AI73" i="15"/>
  <c r="AL87" i="15"/>
  <c r="AM87" i="15"/>
  <c r="AD114" i="15"/>
  <c r="AE114" i="15"/>
  <c r="AD256" i="15"/>
  <c r="AE256" i="15"/>
  <c r="AL410" i="15"/>
  <c r="AM410" i="15"/>
  <c r="AK410" i="15"/>
  <c r="R404" i="15"/>
  <c r="S404" i="15"/>
  <c r="Q404" i="15"/>
  <c r="AB74" i="19"/>
  <c r="E171" i="15"/>
  <c r="L145" i="3"/>
  <c r="Z285" i="15"/>
  <c r="AA285" i="15"/>
  <c r="AC213" i="15"/>
  <c r="AH161" i="15"/>
  <c r="AI161" i="15"/>
  <c r="AH115" i="15"/>
  <c r="AI115" i="15"/>
  <c r="AG115" i="15"/>
  <c r="AG162" i="15"/>
  <c r="Y297" i="15"/>
  <c r="Z297" i="15"/>
  <c r="AA297" i="15"/>
  <c r="Q272" i="15"/>
  <c r="R272" i="15"/>
  <c r="S272" i="15"/>
  <c r="Y139" i="15"/>
  <c r="Z139" i="15"/>
  <c r="AA139" i="15"/>
  <c r="Z164" i="15"/>
  <c r="AA164" i="15"/>
  <c r="Y164" i="15"/>
  <c r="Q287" i="15"/>
  <c r="R287" i="15"/>
  <c r="S287" i="15"/>
  <c r="Q260" i="15"/>
  <c r="R260" i="15"/>
  <c r="S260" i="15"/>
  <c r="V330" i="15"/>
  <c r="W330" i="15"/>
  <c r="U330" i="15"/>
  <c r="Z325" i="15"/>
  <c r="AA325" i="15"/>
  <c r="Y325" i="15"/>
  <c r="AN58" i="19"/>
  <c r="AO58" i="19"/>
  <c r="AP58" i="19"/>
  <c r="Y53" i="19"/>
  <c r="AC53" i="19"/>
  <c r="X53" i="19"/>
  <c r="Z53" i="19"/>
  <c r="AH132" i="15"/>
  <c r="AI132" i="15"/>
  <c r="AD245" i="15"/>
  <c r="AE245" i="15"/>
  <c r="AC245" i="15"/>
  <c r="AG65" i="15"/>
  <c r="AH65" i="15"/>
  <c r="AI65" i="15"/>
  <c r="AG109" i="15"/>
  <c r="AH109" i="15"/>
  <c r="AI109" i="15"/>
  <c r="Z265" i="15"/>
  <c r="AA265" i="15"/>
  <c r="Y265" i="15"/>
  <c r="Z298" i="15"/>
  <c r="AA298" i="15"/>
  <c r="Y298" i="15"/>
  <c r="Y281" i="15"/>
  <c r="Z281" i="15"/>
  <c r="AA281" i="15"/>
  <c r="AG81" i="15"/>
  <c r="AH81" i="15"/>
  <c r="AI81" i="15"/>
  <c r="AC88" i="15"/>
  <c r="AD88" i="15"/>
  <c r="AE88" i="15"/>
  <c r="U122" i="19"/>
  <c r="T122" i="19"/>
  <c r="V122" i="19"/>
  <c r="X78" i="19"/>
  <c r="Y78" i="19"/>
  <c r="AC78" i="19"/>
  <c r="AD159" i="15"/>
  <c r="AE159" i="15"/>
  <c r="AC159" i="15"/>
  <c r="R266" i="15"/>
  <c r="S266" i="15"/>
  <c r="Q266" i="15"/>
  <c r="Z144" i="15"/>
  <c r="AA144" i="15"/>
  <c r="Y144" i="15"/>
  <c r="Z155" i="15"/>
  <c r="AA155" i="15"/>
  <c r="Y155" i="15"/>
  <c r="Z172" i="15"/>
  <c r="AA172" i="15"/>
  <c r="Y172" i="15"/>
  <c r="U360" i="15"/>
  <c r="V360" i="15"/>
  <c r="W360" i="15"/>
  <c r="Q319" i="15"/>
  <c r="R319" i="15"/>
  <c r="S319" i="15"/>
  <c r="AL53" i="15"/>
  <c r="AM53" i="15"/>
  <c r="AK53" i="15"/>
  <c r="AR78" i="19"/>
  <c r="AS78" i="19"/>
  <c r="AT78" i="19"/>
  <c r="AL116" i="15"/>
  <c r="AM116" i="15"/>
  <c r="Y301" i="15"/>
  <c r="Z301" i="15"/>
  <c r="AA301" i="15"/>
  <c r="AD337" i="15"/>
  <c r="AE337" i="15"/>
  <c r="V66" i="15"/>
  <c r="W66" i="15"/>
  <c r="U242" i="15"/>
  <c r="U109" i="15"/>
  <c r="V109" i="15"/>
  <c r="W109" i="15"/>
  <c r="AK318" i="15"/>
  <c r="AL318" i="15"/>
  <c r="AM318" i="15"/>
  <c r="AD393" i="15"/>
  <c r="AE393" i="15"/>
  <c r="AC393" i="15"/>
  <c r="AH337" i="15"/>
  <c r="AI337" i="15"/>
  <c r="AG337" i="15"/>
  <c r="Z234" i="15"/>
  <c r="AA234" i="15"/>
  <c r="Z106" i="15"/>
  <c r="AA106" i="15"/>
  <c r="V303" i="15"/>
  <c r="W303" i="15"/>
  <c r="Z71" i="15"/>
  <c r="AA71" i="15"/>
  <c r="Y176" i="15"/>
  <c r="Z67" i="15"/>
  <c r="AA67" i="15"/>
  <c r="Q253" i="15"/>
  <c r="Q250" i="15"/>
  <c r="V174" i="15"/>
  <c r="W174" i="15"/>
  <c r="U174" i="15"/>
  <c r="Q130" i="15"/>
  <c r="R130" i="15"/>
  <c r="S130" i="15"/>
  <c r="U127" i="15"/>
  <c r="V127" i="15"/>
  <c r="W127" i="15"/>
  <c r="AH404" i="15"/>
  <c r="AI404" i="15"/>
  <c r="AG404" i="15"/>
  <c r="Q359" i="15"/>
  <c r="R359" i="15"/>
  <c r="S359" i="15"/>
  <c r="AB93" i="19"/>
  <c r="AK62" i="19"/>
  <c r="AL62" i="19"/>
  <c r="AJ62" i="19"/>
  <c r="T53" i="19"/>
  <c r="V53" i="19"/>
  <c r="U53" i="19"/>
  <c r="AD162" i="15"/>
  <c r="AE162" i="15"/>
  <c r="Z168" i="15"/>
  <c r="AA168" i="15"/>
  <c r="V156" i="15"/>
  <c r="W156" i="15"/>
  <c r="Q282" i="15"/>
  <c r="Z248" i="15"/>
  <c r="AA248" i="15"/>
  <c r="Y248" i="15"/>
  <c r="V175" i="15"/>
  <c r="W175" i="15"/>
  <c r="U175" i="15"/>
  <c r="Q318" i="15"/>
  <c r="V389" i="15"/>
  <c r="W389" i="15"/>
  <c r="U389" i="15"/>
  <c r="V320" i="15"/>
  <c r="W320" i="15"/>
  <c r="U320" i="15"/>
  <c r="AS55" i="19"/>
  <c r="AT55" i="19"/>
  <c r="AR55" i="19"/>
  <c r="U34" i="19"/>
  <c r="D190" i="15"/>
  <c r="D547" i="15"/>
  <c r="D423" i="15"/>
  <c r="F156" i="15"/>
  <c r="N156" i="15"/>
  <c r="O156" i="15"/>
  <c r="L142" i="4"/>
  <c r="U96" i="15"/>
  <c r="V96" i="15"/>
  <c r="W96" i="15"/>
  <c r="U160" i="15"/>
  <c r="V160" i="15"/>
  <c r="W160" i="15"/>
  <c r="U86" i="15"/>
  <c r="U243" i="15"/>
  <c r="V243" i="15"/>
  <c r="W243" i="15"/>
  <c r="AK316" i="15"/>
  <c r="AL316" i="15"/>
  <c r="AM316" i="15"/>
  <c r="U408" i="15"/>
  <c r="V408" i="15"/>
  <c r="W408" i="15"/>
  <c r="AK406" i="15"/>
  <c r="AL406" i="15"/>
  <c r="AM406" i="15"/>
  <c r="AL360" i="15"/>
  <c r="AM360" i="15"/>
  <c r="AK360" i="15"/>
  <c r="U326" i="15"/>
  <c r="V326" i="15"/>
  <c r="W326" i="15"/>
  <c r="AK323" i="15"/>
  <c r="AL323" i="15"/>
  <c r="AM323" i="15"/>
  <c r="Q322" i="15"/>
  <c r="R322" i="15"/>
  <c r="S322" i="15"/>
  <c r="AS103" i="19"/>
  <c r="AT103" i="19"/>
  <c r="AR103" i="19"/>
  <c r="U90" i="19"/>
  <c r="T90" i="19"/>
  <c r="X40" i="19"/>
  <c r="Z40" i="19"/>
  <c r="Y40" i="19"/>
  <c r="Y38" i="19"/>
  <c r="Y129" i="15"/>
  <c r="Z129" i="15"/>
  <c r="AA129" i="15"/>
  <c r="AL88" i="15"/>
  <c r="AM88" i="15"/>
  <c r="AK88" i="15"/>
  <c r="Q195" i="15"/>
  <c r="R195" i="15"/>
  <c r="S195" i="15"/>
  <c r="AG334" i="15"/>
  <c r="AH334" i="15"/>
  <c r="AI334" i="15"/>
  <c r="AO77" i="19"/>
  <c r="AP77" i="19"/>
  <c r="AJ36" i="19"/>
  <c r="AC85" i="15"/>
  <c r="AD85" i="15"/>
  <c r="AE85" i="15"/>
  <c r="Z177" i="15"/>
  <c r="AA177" i="15"/>
  <c r="Y114" i="15"/>
  <c r="Z114" i="15"/>
  <c r="AA114" i="15"/>
  <c r="Y133" i="15"/>
  <c r="Z133" i="15"/>
  <c r="AA133" i="15"/>
  <c r="Q194" i="15"/>
  <c r="R194" i="15"/>
  <c r="S194" i="15"/>
  <c r="U114" i="15"/>
  <c r="V114" i="15"/>
  <c r="W114" i="15"/>
  <c r="V125" i="15"/>
  <c r="W125" i="15"/>
  <c r="U125" i="15"/>
  <c r="Q251" i="15"/>
  <c r="R251" i="15"/>
  <c r="S251" i="15"/>
  <c r="AC409" i="15"/>
  <c r="AD409" i="15"/>
  <c r="AE409" i="15"/>
  <c r="Q388" i="15"/>
  <c r="R388" i="15"/>
  <c r="S388" i="15"/>
  <c r="R386" i="15"/>
  <c r="S386" i="15"/>
  <c r="Q386" i="15"/>
  <c r="AG329" i="15"/>
  <c r="AH329" i="15"/>
  <c r="AI329" i="15"/>
  <c r="AK322" i="15"/>
  <c r="AL322" i="15"/>
  <c r="AM322" i="15"/>
  <c r="AK321" i="15"/>
  <c r="AL321" i="15"/>
  <c r="AM321" i="15"/>
  <c r="AB95" i="19"/>
  <c r="T52" i="19"/>
  <c r="U52" i="19"/>
  <c r="Y24" i="15"/>
  <c r="Z24" i="15"/>
  <c r="AA24" i="15"/>
  <c r="Y103" i="19"/>
  <c r="X103" i="19"/>
  <c r="Z103" i="19"/>
  <c r="AB62" i="19"/>
  <c r="AD62" i="19"/>
  <c r="AC62" i="19"/>
  <c r="AS57" i="19"/>
  <c r="AT57" i="19"/>
  <c r="AR57" i="19"/>
  <c r="AO56" i="19"/>
  <c r="AP56" i="19"/>
  <c r="AN56" i="19"/>
  <c r="V75" i="15"/>
  <c r="W75" i="15"/>
  <c r="U150" i="15"/>
  <c r="U104" i="15"/>
  <c r="AD317" i="15"/>
  <c r="AE317" i="15"/>
  <c r="AL317" i="15"/>
  <c r="AM317" i="15"/>
  <c r="AH318" i="15"/>
  <c r="AI318" i="15"/>
  <c r="AL361" i="15"/>
  <c r="AM361" i="15"/>
  <c r="U96" i="19"/>
  <c r="V96" i="19"/>
  <c r="T96" i="19"/>
  <c r="AK61" i="19"/>
  <c r="AL61" i="19"/>
  <c r="AJ61" i="19"/>
  <c r="Q403" i="15"/>
  <c r="R403" i="15"/>
  <c r="S403" i="15"/>
  <c r="AL407" i="15"/>
  <c r="AM407" i="15"/>
  <c r="AK407" i="15"/>
  <c r="U363" i="15"/>
  <c r="V363" i="15"/>
  <c r="W363" i="15"/>
  <c r="U324" i="15"/>
  <c r="V324" i="15"/>
  <c r="W324" i="15"/>
  <c r="AJ117" i="19"/>
  <c r="AJ98" i="19"/>
  <c r="AB77" i="19"/>
  <c r="AB61" i="19"/>
  <c r="AD61" i="19"/>
  <c r="AC61" i="19"/>
  <c r="AS42" i="19"/>
  <c r="AT42" i="19"/>
  <c r="AR42" i="19"/>
  <c r="V327" i="15"/>
  <c r="W327" i="15"/>
  <c r="U327" i="15"/>
  <c r="X61" i="19"/>
  <c r="Z61" i="19"/>
  <c r="AR75" i="19"/>
  <c r="AS75" i="19"/>
  <c r="AT75" i="19"/>
  <c r="AR34" i="19"/>
  <c r="AS34" i="19"/>
  <c r="AT34" i="19"/>
  <c r="U32" i="19"/>
  <c r="O135" i="21"/>
  <c r="AN34" i="19"/>
  <c r="AO34" i="19"/>
  <c r="AP34" i="19"/>
  <c r="L161" i="3"/>
  <c r="AO83" i="19"/>
  <c r="AP83" i="19"/>
  <c r="AC96" i="19"/>
  <c r="AD96" i="19"/>
  <c r="AB96" i="19"/>
  <c r="U72" i="19"/>
  <c r="AN42" i="19"/>
  <c r="V48" i="15"/>
  <c r="W48" i="15"/>
  <c r="U48" i="15"/>
  <c r="V40" i="15"/>
  <c r="W40" i="15"/>
  <c r="U40" i="15"/>
  <c r="V32" i="15"/>
  <c r="W32" i="15"/>
  <c r="U32" i="15"/>
  <c r="AG53" i="15"/>
  <c r="AH53" i="15"/>
  <c r="AI53" i="15"/>
  <c r="AG45" i="15"/>
  <c r="AH45" i="15"/>
  <c r="AI45" i="15"/>
  <c r="AG37" i="15"/>
  <c r="AH37" i="15"/>
  <c r="AI37" i="15"/>
  <c r="AG29" i="15"/>
  <c r="AH29" i="15"/>
  <c r="AI29" i="15"/>
  <c r="E151" i="21"/>
  <c r="R53" i="15"/>
  <c r="S53" i="15"/>
  <c r="Q53" i="15"/>
  <c r="R29" i="15"/>
  <c r="S29" i="15"/>
  <c r="Q29" i="15"/>
  <c r="AD47" i="15"/>
  <c r="AE47" i="15"/>
  <c r="AC47" i="15"/>
  <c r="AD31" i="15"/>
  <c r="AE31" i="15"/>
  <c r="AC31" i="15"/>
  <c r="Q43" i="15"/>
  <c r="R43" i="15"/>
  <c r="S43" i="15"/>
  <c r="R27" i="15"/>
  <c r="S27" i="15"/>
  <c r="Q27" i="15"/>
  <c r="U53" i="15"/>
  <c r="V53" i="15"/>
  <c r="W53" i="15"/>
  <c r="U37" i="15"/>
  <c r="V37" i="15"/>
  <c r="W37" i="15"/>
  <c r="U29" i="15"/>
  <c r="V29" i="15"/>
  <c r="W29" i="15"/>
  <c r="R51" i="15"/>
  <c r="S51" i="15"/>
  <c r="Y53" i="15"/>
  <c r="Z53" i="15"/>
  <c r="AA53" i="15"/>
  <c r="Y45" i="15"/>
  <c r="Z45" i="15"/>
  <c r="AA45" i="15"/>
  <c r="Y29" i="15"/>
  <c r="Z29" i="15"/>
  <c r="AA29" i="15"/>
  <c r="U51" i="15"/>
  <c r="V51" i="15"/>
  <c r="W51" i="15"/>
  <c r="U27" i="15"/>
  <c r="V27" i="15"/>
  <c r="W27" i="15"/>
  <c r="AC50" i="15"/>
  <c r="AD50" i="15"/>
  <c r="AE50" i="15"/>
  <c r="AC42" i="15"/>
  <c r="AD42" i="15"/>
  <c r="AE42" i="15"/>
  <c r="AC34" i="15"/>
  <c r="AD34" i="15"/>
  <c r="AE34" i="15"/>
  <c r="AC26" i="15"/>
  <c r="AD26" i="15"/>
  <c r="AE26" i="15"/>
  <c r="AK50" i="15"/>
  <c r="AL50" i="15"/>
  <c r="AM50" i="15"/>
  <c r="AK34" i="15"/>
  <c r="AL34" i="15"/>
  <c r="AM34" i="15"/>
  <c r="Y31" i="15"/>
  <c r="Z31" i="15"/>
  <c r="AA31" i="15"/>
  <c r="AG47" i="15"/>
  <c r="AH47" i="15"/>
  <c r="AI47" i="15"/>
  <c r="AG31" i="15"/>
  <c r="AH31" i="15"/>
  <c r="AI31" i="15"/>
  <c r="AL26" i="15"/>
  <c r="AM26" i="15"/>
  <c r="Q40" i="15"/>
  <c r="C51" i="13"/>
  <c r="C77" i="13"/>
  <c r="C50" i="13"/>
  <c r="V47" i="15"/>
  <c r="W47" i="15"/>
  <c r="AG46" i="15"/>
  <c r="AH46" i="15"/>
  <c r="AI46" i="15"/>
  <c r="AG38" i="15"/>
  <c r="AH38" i="15"/>
  <c r="AI38" i="15"/>
  <c r="AG30" i="15"/>
  <c r="AH30" i="15"/>
  <c r="AI30" i="15"/>
  <c r="Q46" i="15"/>
  <c r="R31" i="15"/>
  <c r="S31" i="15"/>
  <c r="Y46" i="15"/>
  <c r="Z46" i="15"/>
  <c r="AA46" i="15"/>
  <c r="Y38" i="15"/>
  <c r="Z38" i="15"/>
  <c r="AA38" i="15"/>
  <c r="Y30" i="15"/>
  <c r="Z30" i="15"/>
  <c r="AA30" i="15"/>
  <c r="AG43" i="15"/>
  <c r="AG27" i="15"/>
  <c r="AL40" i="15"/>
  <c r="AM40" i="15"/>
  <c r="Q52" i="15"/>
  <c r="Q44" i="15"/>
  <c r="Q36" i="15"/>
  <c r="AK49" i="15"/>
  <c r="AL49" i="15"/>
  <c r="AM49" i="15"/>
  <c r="AK41" i="15"/>
  <c r="AL41" i="15"/>
  <c r="AM41" i="15"/>
  <c r="AK33" i="15"/>
  <c r="AL33" i="15"/>
  <c r="AM33" i="15"/>
  <c r="AK25" i="15"/>
  <c r="AL25" i="15"/>
  <c r="AM25" i="15"/>
  <c r="AK38" i="15"/>
  <c r="U42" i="15"/>
  <c r="Y43" i="15"/>
  <c r="Y27" i="15"/>
  <c r="AD49" i="15"/>
  <c r="AE49" i="15"/>
  <c r="AD33" i="15"/>
  <c r="AE33" i="15"/>
  <c r="E51" i="13"/>
  <c r="C49" i="13"/>
  <c r="C88" i="13"/>
  <c r="E46" i="13"/>
  <c r="G46" i="13"/>
  <c r="E48" i="13"/>
  <c r="E49" i="13"/>
  <c r="E50" i="13"/>
  <c r="E297" i="15"/>
  <c r="E178" i="15"/>
  <c r="E304" i="15"/>
  <c r="AG178" i="15"/>
  <c r="AI178" i="15"/>
  <c r="AK304" i="15"/>
  <c r="AM304" i="15"/>
  <c r="AD178" i="15"/>
  <c r="AE178" i="15"/>
  <c r="AC178" i="15"/>
  <c r="C76" i="13"/>
  <c r="C62" i="13"/>
  <c r="K23" i="15"/>
  <c r="C89" i="13"/>
  <c r="AG304" i="15"/>
  <c r="AH304" i="15"/>
  <c r="AI304" i="15"/>
  <c r="D26" i="18"/>
  <c r="E24" i="21"/>
  <c r="E57" i="21"/>
  <c r="W304" i="15"/>
  <c r="U304" i="15"/>
  <c r="C63" i="13"/>
  <c r="C90" i="13"/>
  <c r="L23" i="15"/>
  <c r="J26" i="18"/>
  <c r="K26" i="18"/>
  <c r="L26" i="18"/>
  <c r="F157" i="15"/>
  <c r="N157" i="15"/>
  <c r="O157" i="15"/>
  <c r="G69" i="19"/>
  <c r="G89" i="19"/>
  <c r="G110" i="19"/>
  <c r="G130" i="19"/>
  <c r="I26" i="18"/>
  <c r="J24" i="21"/>
  <c r="J57" i="21"/>
  <c r="J124" i="21"/>
  <c r="J155" i="21"/>
  <c r="K59" i="15"/>
  <c r="L110" i="19"/>
  <c r="L130" i="19"/>
  <c r="L69" i="19"/>
  <c r="L89" i="19"/>
  <c r="L28" i="19"/>
  <c r="L48" i="19"/>
  <c r="B145" i="4"/>
  <c r="C75" i="13"/>
  <c r="AC304" i="15"/>
  <c r="AD304" i="15"/>
  <c r="AE304" i="15"/>
  <c r="L59" i="15"/>
  <c r="K185" i="15"/>
  <c r="K313" i="15"/>
  <c r="K346" i="15"/>
  <c r="K373" i="15"/>
  <c r="K400" i="15"/>
  <c r="K418" i="15"/>
  <c r="K540" i="15"/>
  <c r="J23" i="15"/>
  <c r="G26" i="18"/>
  <c r="H24" i="21"/>
  <c r="H57" i="21"/>
  <c r="I59" i="15"/>
  <c r="R304" i="15"/>
  <c r="S304" i="15"/>
  <c r="Q304" i="15"/>
  <c r="C61" i="13"/>
  <c r="G28" i="19"/>
  <c r="G48" i="19"/>
  <c r="F185" i="15"/>
  <c r="F313" i="15"/>
  <c r="F346" i="15"/>
  <c r="F373" i="15"/>
  <c r="F400" i="15"/>
  <c r="F418" i="15"/>
  <c r="F540" i="15"/>
  <c r="Z304" i="15"/>
  <c r="AA304" i="15"/>
  <c r="Y304" i="15"/>
  <c r="F28" i="19"/>
  <c r="E185" i="15"/>
  <c r="E313" i="15"/>
  <c r="E346" i="15"/>
  <c r="E373" i="15"/>
  <c r="E400" i="15"/>
  <c r="E418" i="15"/>
  <c r="E540" i="15"/>
  <c r="F69" i="19"/>
  <c r="F89" i="19"/>
  <c r="F110" i="19"/>
  <c r="F130" i="19"/>
  <c r="Y178" i="15"/>
  <c r="Z178" i="15"/>
  <c r="AA178" i="15"/>
  <c r="H185" i="15"/>
  <c r="H313" i="15"/>
  <c r="H346" i="15"/>
  <c r="H373" i="15"/>
  <c r="H400" i="15"/>
  <c r="H418" i="15"/>
  <c r="H540" i="15"/>
  <c r="AH93" i="15"/>
  <c r="AI93" i="15"/>
  <c r="U138" i="15"/>
  <c r="AC64" i="15"/>
  <c r="J137" i="16"/>
  <c r="I69" i="19"/>
  <c r="I89" i="19"/>
  <c r="C70" i="13"/>
  <c r="J124" i="13"/>
  <c r="J117" i="13"/>
  <c r="AH186" i="15"/>
  <c r="AI186" i="15"/>
  <c r="Z64" i="15"/>
  <c r="AA64" i="15"/>
  <c r="AD264" i="15"/>
  <c r="AE264" i="15"/>
  <c r="R137" i="15"/>
  <c r="S137" i="15"/>
  <c r="AL353" i="15"/>
  <c r="AM353" i="15"/>
  <c r="AH351" i="15"/>
  <c r="AI351" i="15"/>
  <c r="AD354" i="15"/>
  <c r="AE354" i="15"/>
  <c r="AD380" i="15"/>
  <c r="AE380" i="15"/>
  <c r="AO131" i="19"/>
  <c r="AP131" i="19"/>
  <c r="Z401" i="15"/>
  <c r="AA401" i="15"/>
  <c r="AK354" i="15"/>
  <c r="AD349" i="15"/>
  <c r="AE349" i="15"/>
  <c r="V354" i="15"/>
  <c r="W354" i="15"/>
  <c r="V353" i="15"/>
  <c r="W353" i="15"/>
  <c r="AD382" i="15"/>
  <c r="AE382" i="15"/>
  <c r="AG138" i="15"/>
  <c r="AC376" i="15"/>
  <c r="AN133" i="19"/>
  <c r="AL220" i="15"/>
  <c r="AM220" i="15"/>
  <c r="AK240" i="15"/>
  <c r="AL258" i="15"/>
  <c r="AM258" i="15"/>
  <c r="AL235" i="15"/>
  <c r="AM235" i="15"/>
  <c r="AG236" i="15"/>
  <c r="AH241" i="15"/>
  <c r="AI241" i="15"/>
  <c r="AL199" i="15"/>
  <c r="AM199" i="15"/>
  <c r="AK199" i="15"/>
  <c r="AK280" i="15"/>
  <c r="AL280" i="15"/>
  <c r="AM280" i="15"/>
  <c r="AH202" i="15"/>
  <c r="AI202" i="15"/>
  <c r="AG202" i="15"/>
  <c r="AH294" i="15"/>
  <c r="AI294" i="15"/>
  <c r="AG294" i="15"/>
  <c r="I640" i="15"/>
  <c r="I283" i="15"/>
  <c r="X283" i="15"/>
  <c r="J123" i="13"/>
  <c r="E264" i="15"/>
  <c r="AD63" i="15"/>
  <c r="AE63" i="15"/>
  <c r="V64" i="15"/>
  <c r="W64" i="15"/>
  <c r="Y190" i="15"/>
  <c r="AH279" i="15"/>
  <c r="AI279" i="15"/>
  <c r="AG279" i="15"/>
  <c r="J573" i="15"/>
  <c r="J216" i="15"/>
  <c r="AL299" i="15"/>
  <c r="AM299" i="15"/>
  <c r="AK299" i="15"/>
  <c r="I495" i="15"/>
  <c r="I136" i="15"/>
  <c r="AK290" i="15"/>
  <c r="AL211" i="15"/>
  <c r="AM211" i="15"/>
  <c r="AK211" i="15"/>
  <c r="AG238" i="15"/>
  <c r="AH238" i="15"/>
  <c r="AI238" i="15"/>
  <c r="AH191" i="15"/>
  <c r="AI191" i="15"/>
  <c r="AL112" i="15"/>
  <c r="AM112" i="15"/>
  <c r="AL162" i="15"/>
  <c r="AM162" i="15"/>
  <c r="AK66" i="15"/>
  <c r="AK69" i="15"/>
  <c r="AL143" i="15"/>
  <c r="AM143" i="15"/>
  <c r="AC221" i="15"/>
  <c r="AC235" i="15"/>
  <c r="AD234" i="15"/>
  <c r="AE234" i="15"/>
  <c r="AH112" i="15"/>
  <c r="AI112" i="15"/>
  <c r="AH114" i="15"/>
  <c r="AI114" i="15"/>
  <c r="AL155" i="15"/>
  <c r="AM155" i="15"/>
  <c r="AC254" i="15"/>
  <c r="AH156" i="15"/>
  <c r="AI156" i="15"/>
  <c r="AG256" i="15"/>
  <c r="AK85" i="15"/>
  <c r="AH151" i="15"/>
  <c r="AI151" i="15"/>
  <c r="AL127" i="15"/>
  <c r="AM127" i="15"/>
  <c r="AG150" i="15"/>
  <c r="AK133" i="15"/>
  <c r="AH122" i="15"/>
  <c r="AI122" i="15"/>
  <c r="Y231" i="15"/>
  <c r="AC247" i="15"/>
  <c r="Z259" i="15"/>
  <c r="AA259" i="15"/>
  <c r="AC176" i="15"/>
  <c r="AD173" i="15"/>
  <c r="AE173" i="15"/>
  <c r="U197" i="15"/>
  <c r="Q240" i="15"/>
  <c r="V275" i="15"/>
  <c r="W275" i="15"/>
  <c r="Z77" i="15"/>
  <c r="AA77" i="15"/>
  <c r="AC165" i="15"/>
  <c r="V231" i="15"/>
  <c r="W231" i="15"/>
  <c r="U231" i="15"/>
  <c r="Q201" i="15"/>
  <c r="R201" i="15"/>
  <c r="S201" i="15"/>
  <c r="AL111" i="15"/>
  <c r="AM111" i="15"/>
  <c r="AG160" i="15"/>
  <c r="AK161" i="15"/>
  <c r="AK117" i="15"/>
  <c r="AK177" i="15"/>
  <c r="AH103" i="15"/>
  <c r="AI103" i="15"/>
  <c r="Q255" i="15"/>
  <c r="R255" i="15"/>
  <c r="S255" i="15"/>
  <c r="Y79" i="15"/>
  <c r="Z79" i="15"/>
  <c r="AA79" i="15"/>
  <c r="Y165" i="15"/>
  <c r="Z165" i="15"/>
  <c r="AA165" i="15"/>
  <c r="Z170" i="15"/>
  <c r="AA170" i="15"/>
  <c r="Y170" i="15"/>
  <c r="Z85" i="15"/>
  <c r="AA85" i="15"/>
  <c r="Y85" i="15"/>
  <c r="Q197" i="15"/>
  <c r="R197" i="15"/>
  <c r="S197" i="15"/>
  <c r="R196" i="15"/>
  <c r="S196" i="15"/>
  <c r="Q196" i="15"/>
  <c r="Y105" i="15"/>
  <c r="Z105" i="15"/>
  <c r="AA105" i="15"/>
  <c r="Y156" i="15"/>
  <c r="Z156" i="15"/>
  <c r="AA156" i="15"/>
  <c r="R202" i="15"/>
  <c r="S202" i="15"/>
  <c r="Q202" i="15"/>
  <c r="U288" i="15"/>
  <c r="V288" i="15"/>
  <c r="W288" i="15"/>
  <c r="Y159" i="15"/>
  <c r="Z159" i="15"/>
  <c r="AA159" i="15"/>
  <c r="U158" i="15"/>
  <c r="V158" i="15"/>
  <c r="W158" i="15"/>
  <c r="R223" i="15"/>
  <c r="S223" i="15"/>
  <c r="Q223" i="15"/>
  <c r="Q235" i="15"/>
  <c r="R235" i="15"/>
  <c r="S235" i="15"/>
  <c r="Q198" i="15"/>
  <c r="R198" i="15"/>
  <c r="S198" i="15"/>
  <c r="AG257" i="15"/>
  <c r="R254" i="15"/>
  <c r="S254" i="15"/>
  <c r="U229" i="15"/>
  <c r="AD257" i="15"/>
  <c r="AE257" i="15"/>
  <c r="V155" i="15"/>
  <c r="W155" i="15"/>
  <c r="V103" i="15"/>
  <c r="W103" i="15"/>
  <c r="Y175" i="15"/>
  <c r="AD408" i="15"/>
  <c r="AE408" i="15"/>
  <c r="Y393" i="15"/>
  <c r="AG409" i="15"/>
  <c r="Q389" i="15"/>
  <c r="AK393" i="15"/>
  <c r="AL393" i="15"/>
  <c r="AM393" i="15"/>
  <c r="AD390" i="15"/>
  <c r="AE390" i="15"/>
  <c r="Z364" i="15"/>
  <c r="AA364" i="15"/>
  <c r="U361" i="15"/>
  <c r="V361" i="15"/>
  <c r="W361" i="15"/>
  <c r="U305" i="15"/>
  <c r="V305" i="15"/>
  <c r="W305" i="15"/>
  <c r="V111" i="15"/>
  <c r="W111" i="15"/>
  <c r="R212" i="15"/>
  <c r="S212" i="15"/>
  <c r="AD83" i="15"/>
  <c r="AE83" i="15"/>
  <c r="Q278" i="15"/>
  <c r="U68" i="15"/>
  <c r="R256" i="15"/>
  <c r="S256" i="15"/>
  <c r="Z246" i="15"/>
  <c r="AA246" i="15"/>
  <c r="V72" i="15"/>
  <c r="W72" i="15"/>
  <c r="U101" i="15"/>
  <c r="U85" i="15"/>
  <c r="Z410" i="15"/>
  <c r="AA410" i="15"/>
  <c r="AG402" i="15"/>
  <c r="AH389" i="15"/>
  <c r="AI389" i="15"/>
  <c r="AG389" i="15"/>
  <c r="Y387" i="15"/>
  <c r="Y365" i="15"/>
  <c r="Z365" i="15"/>
  <c r="AA365" i="15"/>
  <c r="U336" i="15"/>
  <c r="V336" i="15"/>
  <c r="W336" i="15"/>
  <c r="Y322" i="15"/>
  <c r="Z322" i="15"/>
  <c r="AA322" i="15"/>
  <c r="AG319" i="15"/>
  <c r="AH319" i="15"/>
  <c r="AI319" i="15"/>
  <c r="V331" i="15"/>
  <c r="W331" i="15"/>
  <c r="U331" i="15"/>
  <c r="AB111" i="19"/>
  <c r="AD111" i="19"/>
  <c r="AL305" i="15"/>
  <c r="AM305" i="15"/>
  <c r="AB117" i="19"/>
  <c r="AS96" i="19"/>
  <c r="AT96" i="19"/>
  <c r="AN40" i="19"/>
  <c r="U36" i="19"/>
  <c r="AS35" i="19"/>
  <c r="AT35" i="19"/>
  <c r="U57" i="19"/>
  <c r="AJ41" i="19"/>
  <c r="U33" i="19"/>
  <c r="AC41" i="19"/>
  <c r="D188" i="15"/>
  <c r="D545" i="15"/>
  <c r="R35" i="15"/>
  <c r="S35" i="15"/>
  <c r="Q35" i="15"/>
  <c r="R38" i="15"/>
  <c r="S38" i="15"/>
  <c r="Q38" i="15"/>
  <c r="Q33" i="15"/>
  <c r="R33" i="15"/>
  <c r="S33" i="15"/>
  <c r="R30" i="15"/>
  <c r="S30" i="15"/>
  <c r="Q30" i="15"/>
  <c r="U45" i="15"/>
  <c r="V39" i="15"/>
  <c r="W39" i="15"/>
  <c r="U36" i="15"/>
  <c r="V33" i="15"/>
  <c r="W33" i="15"/>
  <c r="V26" i="15"/>
  <c r="W26" i="15"/>
  <c r="U52" i="15"/>
  <c r="V49" i="15"/>
  <c r="W49" i="15"/>
  <c r="V35" i="15"/>
  <c r="W35" i="15"/>
  <c r="Z52" i="15"/>
  <c r="AA52" i="15"/>
  <c r="Z39" i="15"/>
  <c r="AA39" i="15"/>
  <c r="Y39" i="15"/>
  <c r="Y34" i="15"/>
  <c r="Z49" i="15"/>
  <c r="AA49" i="15"/>
  <c r="Z33" i="15"/>
  <c r="AA33" i="15"/>
  <c r="Z25" i="15"/>
  <c r="AA25" i="15"/>
  <c r="AD51" i="15"/>
  <c r="AE51" i="15"/>
  <c r="AC51" i="15"/>
  <c r="AD48" i="15"/>
  <c r="AE48" i="15"/>
  <c r="AC43" i="15"/>
  <c r="AD39" i="15"/>
  <c r="AE39" i="15"/>
  <c r="AD29" i="15"/>
  <c r="AE29" i="15"/>
  <c r="AC29" i="15"/>
  <c r="AD28" i="15"/>
  <c r="AE28" i="15"/>
  <c r="AH52" i="15"/>
  <c r="AI52" i="15"/>
  <c r="AG36" i="15"/>
  <c r="AH36" i="15"/>
  <c r="AI36" i="15"/>
  <c r="AH41" i="15"/>
  <c r="AI41" i="15"/>
  <c r="AH33" i="15"/>
  <c r="AI33" i="15"/>
  <c r="AK52" i="15"/>
  <c r="AL47" i="15"/>
  <c r="AM47" i="15"/>
  <c r="AK36" i="15"/>
  <c r="AL31" i="15"/>
  <c r="AM31" i="15"/>
  <c r="AK37" i="15"/>
  <c r="C46" i="13"/>
  <c r="E47" i="13"/>
  <c r="G47" i="13"/>
  <c r="G48" i="13"/>
  <c r="G49" i="13"/>
  <c r="G50" i="13"/>
  <c r="G51" i="13"/>
  <c r="U41" i="15"/>
  <c r="AL42" i="15"/>
  <c r="AM42" i="15"/>
  <c r="Q42" i="15"/>
  <c r="Q26" i="15"/>
  <c r="R48" i="15"/>
  <c r="S48" i="15"/>
  <c r="R39" i="15"/>
  <c r="S39" i="15"/>
  <c r="U25" i="15"/>
  <c r="U31" i="15"/>
  <c r="V46" i="15"/>
  <c r="W46" i="15"/>
  <c r="Z51" i="15"/>
  <c r="AA51" i="15"/>
  <c r="Y26" i="15"/>
  <c r="Z32" i="15"/>
  <c r="AA32" i="15"/>
  <c r="AD32" i="15"/>
  <c r="AE32" i="15"/>
  <c r="AH26" i="15"/>
  <c r="AI26" i="15"/>
  <c r="AH48" i="15"/>
  <c r="AI48" i="15"/>
  <c r="AK44" i="15"/>
  <c r="AL39" i="15"/>
  <c r="AM39" i="15"/>
  <c r="AL30" i="15"/>
  <c r="AM30" i="15"/>
  <c r="AK28" i="15"/>
  <c r="Z40" i="15"/>
  <c r="AA40" i="15"/>
  <c r="AG51" i="15"/>
  <c r="AK29" i="15"/>
  <c r="I185" i="15"/>
  <c r="I313" i="15"/>
  <c r="I346" i="15"/>
  <c r="I373" i="15"/>
  <c r="I400" i="15"/>
  <c r="I418" i="15"/>
  <c r="I540" i="15"/>
  <c r="J69" i="19"/>
  <c r="J89" i="19"/>
  <c r="J28" i="19"/>
  <c r="J48" i="19"/>
  <c r="J110" i="19"/>
  <c r="J130" i="19"/>
  <c r="C58" i="13"/>
  <c r="G23" i="15"/>
  <c r="C85" i="13"/>
  <c r="C72" i="13"/>
  <c r="M28" i="19"/>
  <c r="M48" i="19"/>
  <c r="M69" i="19"/>
  <c r="M89" i="19"/>
  <c r="M110" i="19"/>
  <c r="M130" i="19"/>
  <c r="L185" i="15"/>
  <c r="L313" i="15"/>
  <c r="L346" i="15"/>
  <c r="L373" i="15"/>
  <c r="L400" i="15"/>
  <c r="L418" i="15"/>
  <c r="L540" i="15"/>
  <c r="F48" i="19"/>
  <c r="D24" i="21"/>
  <c r="D57" i="21"/>
  <c r="H26" i="18"/>
  <c r="I24" i="21"/>
  <c r="I57" i="21"/>
  <c r="J59" i="15"/>
  <c r="G59" i="15"/>
  <c r="E26" i="18"/>
  <c r="F24" i="21"/>
  <c r="F57" i="21"/>
  <c r="K110" i="19"/>
  <c r="K130" i="19"/>
  <c r="K69" i="19"/>
  <c r="K89" i="19"/>
  <c r="J185" i="15"/>
  <c r="J313" i="15"/>
  <c r="J346" i="15"/>
  <c r="J373" i="15"/>
  <c r="J400" i="15"/>
  <c r="J418" i="15"/>
  <c r="J540" i="15"/>
  <c r="K28" i="19"/>
  <c r="K48" i="19"/>
  <c r="D124" i="21"/>
  <c r="D155" i="21"/>
  <c r="D90" i="21"/>
  <c r="H110" i="19"/>
  <c r="H130" i="19"/>
  <c r="H69" i="19"/>
  <c r="H89" i="19"/>
  <c r="H28" i="19"/>
  <c r="H48" i="19"/>
  <c r="G185" i="15"/>
  <c r="G313" i="15"/>
  <c r="G346" i="15"/>
  <c r="G373" i="15"/>
  <c r="G400" i="15"/>
  <c r="G418" i="15"/>
  <c r="G540" i="15"/>
  <c r="J84" i="4"/>
  <c r="AH157" i="15"/>
  <c r="AI157" i="15"/>
  <c r="AL283" i="15"/>
  <c r="AM283" i="15"/>
  <c r="AK283" i="15"/>
  <c r="AC157" i="15"/>
  <c r="AK157" i="15"/>
  <c r="AL157" i="15"/>
  <c r="AM157" i="15"/>
  <c r="AG283" i="15"/>
  <c r="AH283" i="15"/>
  <c r="AI283" i="15"/>
  <c r="L60" i="4"/>
  <c r="F91" i="15"/>
  <c r="N91" i="15"/>
  <c r="O91" i="15"/>
  <c r="G38" i="4"/>
  <c r="G37" i="4"/>
  <c r="R92" i="15"/>
  <c r="S92" i="15"/>
  <c r="Q91" i="15"/>
  <c r="L84" i="4"/>
  <c r="K160" i="4"/>
  <c r="F38" i="14"/>
  <c r="AK262" i="15"/>
  <c r="AL262" i="15"/>
  <c r="AM262" i="15"/>
  <c r="N93" i="15"/>
  <c r="O93" i="15"/>
  <c r="F136" i="15"/>
  <c r="N136" i="15"/>
  <c r="O136" i="15"/>
  <c r="AL136" i="15"/>
  <c r="AM136" i="15"/>
  <c r="G15" i="4"/>
  <c r="AG90" i="15"/>
  <c r="AH90" i="15"/>
  <c r="AI90" i="15"/>
  <c r="N60" i="15"/>
  <c r="O60" i="15"/>
  <c r="F90" i="15"/>
  <c r="N90" i="15"/>
  <c r="O90" i="15"/>
  <c r="AK90" i="15"/>
  <c r="AL90" i="15"/>
  <c r="AM90" i="15"/>
  <c r="AK216" i="15"/>
  <c r="AL216" i="15"/>
  <c r="AM216" i="15"/>
  <c r="AH216" i="15"/>
  <c r="AI216" i="15"/>
  <c r="AG216" i="15"/>
  <c r="J87" i="3"/>
  <c r="E157" i="15"/>
  <c r="E283" i="15"/>
  <c r="E263" i="15"/>
  <c r="D87" i="3"/>
  <c r="G41" i="3"/>
  <c r="G40" i="3"/>
  <c r="L63" i="3"/>
  <c r="E92" i="15"/>
  <c r="E218" i="15"/>
  <c r="E91" i="15"/>
  <c r="D218" i="15"/>
  <c r="D575" i="15"/>
  <c r="G18" i="3"/>
  <c r="L37" i="3"/>
  <c r="L87" i="3"/>
  <c r="K164" i="3"/>
  <c r="H10" i="14"/>
  <c r="M70" i="13"/>
  <c r="G17" i="3"/>
  <c r="D419" i="15"/>
  <c r="K85" i="18"/>
  <c r="I85" i="18"/>
  <c r="K165" i="4"/>
  <c r="H43" i="14"/>
  <c r="E217" i="15"/>
  <c r="E136" i="15"/>
  <c r="E262" i="15"/>
  <c r="E90" i="15"/>
  <c r="E216" i="15"/>
  <c r="H14" i="14"/>
  <c r="F21" i="14"/>
  <c r="F23" i="14"/>
  <c r="H23" i="14"/>
  <c r="H36" i="14"/>
  <c r="H45" i="14"/>
  <c r="J70" i="13"/>
  <c r="D56" i="13"/>
  <c r="K44" i="13"/>
  <c r="O70" i="13"/>
  <c r="M33" i="13"/>
  <c r="D45" i="13"/>
  <c r="G71" i="13"/>
  <c r="D71" i="13"/>
  <c r="H19" i="14"/>
  <c r="H17" i="14"/>
  <c r="F45" i="13"/>
  <c r="H45" i="13"/>
  <c r="F71" i="13"/>
  <c r="H71" i="13"/>
  <c r="AK80" i="19"/>
  <c r="AL80" i="19"/>
  <c r="AD72" i="19"/>
  <c r="AD71" i="19"/>
  <c r="AK71" i="19"/>
  <c r="AL71" i="19"/>
  <c r="AK78" i="19"/>
  <c r="AL78" i="19"/>
  <c r="Z78" i="19"/>
  <c r="Z82" i="19"/>
  <c r="AO70" i="19"/>
  <c r="AP70" i="19"/>
  <c r="AB80" i="19"/>
  <c r="AD80" i="19"/>
  <c r="AK77" i="19"/>
  <c r="AL77" i="19"/>
  <c r="Z83" i="19"/>
  <c r="Z81" i="19"/>
  <c r="Y70" i="19"/>
  <c r="Z70" i="19"/>
  <c r="AC70" i="19"/>
  <c r="AK70" i="19"/>
  <c r="AL70" i="19"/>
  <c r="Y76" i="19"/>
  <c r="AC76" i="19"/>
  <c r="AK76" i="19"/>
  <c r="AL76" i="19"/>
  <c r="AO79" i="19"/>
  <c r="AP79" i="19"/>
  <c r="AB81" i="19"/>
  <c r="AD81" i="19"/>
  <c r="AK82" i="19"/>
  <c r="AL82" i="19"/>
  <c r="Z73" i="19"/>
  <c r="Z75" i="19"/>
  <c r="Z72" i="19"/>
  <c r="T78" i="19"/>
  <c r="V78" i="19"/>
  <c r="U82" i="19"/>
  <c r="V82" i="19"/>
  <c r="Y74" i="19"/>
  <c r="AC74" i="19"/>
  <c r="U79" i="19"/>
  <c r="V79" i="19"/>
  <c r="T77" i="19"/>
  <c r="V77" i="19"/>
  <c r="V72" i="19"/>
  <c r="V71" i="19"/>
  <c r="V80" i="19"/>
  <c r="T83" i="19"/>
  <c r="V83" i="19"/>
  <c r="V75" i="19"/>
  <c r="V74" i="19"/>
  <c r="V73" i="19"/>
  <c r="V70" i="19"/>
  <c r="AK94" i="19"/>
  <c r="AL94" i="19"/>
  <c r="AD94" i="19"/>
  <c r="AD101" i="19"/>
  <c r="AC93" i="19"/>
  <c r="AK93" i="19"/>
  <c r="AL93" i="19"/>
  <c r="AO101" i="19"/>
  <c r="AP101" i="19"/>
  <c r="Z101" i="19"/>
  <c r="AK100" i="19"/>
  <c r="AL100" i="19"/>
  <c r="AN99" i="19"/>
  <c r="AC98" i="19"/>
  <c r="AK98" i="19"/>
  <c r="AL98" i="19"/>
  <c r="AK97" i="19"/>
  <c r="AL97" i="19"/>
  <c r="AO93" i="19"/>
  <c r="AP93" i="19"/>
  <c r="AN90" i="19"/>
  <c r="AD92" i="19"/>
  <c r="AK96" i="19"/>
  <c r="AL96" i="19"/>
  <c r="X93" i="19"/>
  <c r="Z93" i="19"/>
  <c r="X100" i="19"/>
  <c r="Z100" i="19"/>
  <c r="Z102" i="19"/>
  <c r="AK101" i="19"/>
  <c r="AL101" i="19"/>
  <c r="Z94" i="19"/>
  <c r="X92" i="19"/>
  <c r="Z92" i="19"/>
  <c r="Y95" i="19"/>
  <c r="AC95" i="19"/>
  <c r="AK95" i="19"/>
  <c r="AL95" i="19"/>
  <c r="Z91" i="19"/>
  <c r="U99" i="19"/>
  <c r="V99" i="19"/>
  <c r="Y102" i="19"/>
  <c r="AC102" i="19"/>
  <c r="U91" i="19"/>
  <c r="V91" i="19"/>
  <c r="U93" i="19"/>
  <c r="V93" i="19"/>
  <c r="X96" i="19"/>
  <c r="Z96" i="19"/>
  <c r="V101" i="19"/>
  <c r="V90" i="19"/>
  <c r="Z131" i="19"/>
  <c r="AK138" i="19"/>
  <c r="AL138" i="19"/>
  <c r="AD138" i="19"/>
  <c r="AO140" i="19"/>
  <c r="AP140" i="19"/>
  <c r="AK134" i="19"/>
  <c r="AL134" i="19"/>
  <c r="AN134" i="19"/>
  <c r="AN142" i="19"/>
  <c r="AB143" i="19"/>
  <c r="AD143" i="19"/>
  <c r="AB140" i="19"/>
  <c r="AD140" i="19"/>
  <c r="Z136" i="19"/>
  <c r="Z133" i="19"/>
  <c r="Z139" i="19"/>
  <c r="Z140" i="19"/>
  <c r="Z134" i="19"/>
  <c r="Z143" i="19"/>
  <c r="Z144" i="19"/>
  <c r="Z132" i="19"/>
  <c r="Z142" i="19"/>
  <c r="V143" i="19"/>
  <c r="V134" i="19"/>
  <c r="U135" i="19"/>
  <c r="Y139" i="19"/>
  <c r="AC139" i="19"/>
  <c r="AK139" i="19"/>
  <c r="AL139" i="19"/>
  <c r="T136" i="19"/>
  <c r="V136" i="19"/>
  <c r="Y135" i="19"/>
  <c r="AC135" i="19"/>
  <c r="AD135" i="19"/>
  <c r="V139" i="19"/>
  <c r="V132" i="19"/>
  <c r="U144" i="19"/>
  <c r="V144" i="19"/>
  <c r="V137" i="19"/>
  <c r="X138" i="19"/>
  <c r="Z138" i="19"/>
  <c r="V133" i="19"/>
  <c r="V140" i="19"/>
  <c r="V135" i="19"/>
  <c r="U132" i="19"/>
  <c r="V131" i="19"/>
  <c r="AK122" i="19"/>
  <c r="AL122" i="19"/>
  <c r="AK117" i="19"/>
  <c r="AL117" i="19"/>
  <c r="AD117" i="19"/>
  <c r="AD124" i="19"/>
  <c r="AK124" i="19"/>
  <c r="AL124" i="19"/>
  <c r="AD114" i="19"/>
  <c r="AK114" i="19"/>
  <c r="AL114" i="19"/>
  <c r="AC112" i="19"/>
  <c r="AD112" i="19"/>
  <c r="Z119" i="19"/>
  <c r="AJ112" i="19"/>
  <c r="AN115" i="19"/>
  <c r="AB123" i="19"/>
  <c r="AJ122" i="19"/>
  <c r="AK121" i="19"/>
  <c r="AL121" i="19"/>
  <c r="Z121" i="19"/>
  <c r="AK116" i="19"/>
  <c r="AL116" i="19"/>
  <c r="Z113" i="19"/>
  <c r="Y115" i="19"/>
  <c r="AC115" i="19"/>
  <c r="AK115" i="19"/>
  <c r="AL115" i="19"/>
  <c r="AJ118" i="19"/>
  <c r="X124" i="19"/>
  <c r="Z124" i="19"/>
  <c r="Z123" i="19"/>
  <c r="V114" i="19"/>
  <c r="Y123" i="19"/>
  <c r="AC123" i="19"/>
  <c r="AK123" i="19"/>
  <c r="AL123" i="19"/>
  <c r="V124" i="19"/>
  <c r="Y112" i="19"/>
  <c r="Z112" i="19"/>
  <c r="V112" i="19"/>
  <c r="V111" i="19"/>
  <c r="T141" i="19"/>
  <c r="V141" i="19"/>
  <c r="U120" i="19"/>
  <c r="V120" i="19"/>
  <c r="T123" i="19"/>
  <c r="V123" i="19"/>
  <c r="T115" i="19"/>
  <c r="V115" i="19"/>
  <c r="AK53" i="19"/>
  <c r="AL53" i="19"/>
  <c r="AD53" i="19"/>
  <c r="AD49" i="19"/>
  <c r="AK59" i="19"/>
  <c r="AL59" i="19"/>
  <c r="AD59" i="19"/>
  <c r="Z52" i="19"/>
  <c r="AC52" i="19"/>
  <c r="AK52" i="19"/>
  <c r="AL52" i="19"/>
  <c r="AD51" i="19"/>
  <c r="AK58" i="19"/>
  <c r="AL58" i="19"/>
  <c r="AD58" i="19"/>
  <c r="AD57" i="19"/>
  <c r="AD54" i="19"/>
  <c r="AO49" i="19"/>
  <c r="AP49" i="19"/>
  <c r="AC54" i="19"/>
  <c r="AK54" i="19"/>
  <c r="AL54" i="19"/>
  <c r="X59" i="19"/>
  <c r="Z59" i="19"/>
  <c r="AK49" i="19"/>
  <c r="AL49" i="19"/>
  <c r="X57" i="19"/>
  <c r="Z57" i="19"/>
  <c r="AO53" i="19"/>
  <c r="AP53" i="19"/>
  <c r="AB50" i="19"/>
  <c r="AD50" i="19"/>
  <c r="Z50" i="19"/>
  <c r="Z51" i="19"/>
  <c r="Y56" i="19"/>
  <c r="AC56" i="19"/>
  <c r="V52" i="19"/>
  <c r="Y51" i="19"/>
  <c r="AC51" i="19"/>
  <c r="AK51" i="19"/>
  <c r="AL51" i="19"/>
  <c r="U54" i="19"/>
  <c r="V54" i="19"/>
  <c r="V58" i="19"/>
  <c r="V50" i="19"/>
  <c r="X49" i="19"/>
  <c r="Z49" i="19"/>
  <c r="AD29" i="19"/>
  <c r="AK36" i="19"/>
  <c r="AL36" i="19"/>
  <c r="AD36" i="19"/>
  <c r="AD31" i="19"/>
  <c r="AD30" i="19"/>
  <c r="Y33" i="19"/>
  <c r="Z33" i="19"/>
  <c r="AK35" i="19"/>
  <c r="AL35" i="19"/>
  <c r="AC29" i="19"/>
  <c r="AK29" i="19"/>
  <c r="AL29" i="19"/>
  <c r="Z36" i="19"/>
  <c r="AC31" i="19"/>
  <c r="AK31" i="19"/>
  <c r="AL31" i="19"/>
  <c r="AO37" i="19"/>
  <c r="AP37" i="19"/>
  <c r="X31" i="19"/>
  <c r="Z31" i="19"/>
  <c r="Z38" i="19"/>
  <c r="Z37" i="19"/>
  <c r="Y32" i="19"/>
  <c r="AC32" i="19"/>
  <c r="Y39" i="19"/>
  <c r="Z39" i="19"/>
  <c r="V31" i="19"/>
  <c r="U30" i="19"/>
  <c r="V30" i="19"/>
  <c r="Y34" i="19"/>
  <c r="AC34" i="19"/>
  <c r="T39" i="19"/>
  <c r="V39" i="19"/>
  <c r="V38" i="19"/>
  <c r="V33" i="19"/>
  <c r="V32" i="19"/>
  <c r="X29" i="19"/>
  <c r="Z29" i="19"/>
  <c r="V29" i="19"/>
  <c r="U59" i="19"/>
  <c r="V59" i="19"/>
  <c r="T56" i="19"/>
  <c r="V56" i="19"/>
  <c r="U49" i="19"/>
  <c r="V49" i="19"/>
  <c r="T37" i="19"/>
  <c r="V37" i="19"/>
  <c r="U31" i="19"/>
  <c r="U58" i="19"/>
  <c r="U55" i="19"/>
  <c r="V55" i="19"/>
  <c r="T35" i="19"/>
  <c r="V35" i="19"/>
  <c r="L85" i="18"/>
  <c r="Z283" i="15"/>
  <c r="AA283" i="15"/>
  <c r="Y283" i="15"/>
  <c r="V283" i="15"/>
  <c r="W283" i="15"/>
  <c r="U283" i="15"/>
  <c r="AD283" i="15"/>
  <c r="AE283" i="15"/>
  <c r="AC283" i="15"/>
  <c r="Q283" i="15"/>
  <c r="R283" i="15"/>
  <c r="S283" i="15"/>
  <c r="R218" i="15"/>
  <c r="S218" i="15"/>
  <c r="AC219" i="15"/>
  <c r="V220" i="15"/>
  <c r="V219" i="15"/>
  <c r="F619" i="15"/>
  <c r="F262" i="15"/>
  <c r="N262" i="15"/>
  <c r="O262" i="15"/>
  <c r="T216" i="15"/>
  <c r="V187" i="15"/>
  <c r="U216" i="15"/>
  <c r="V216" i="15"/>
  <c r="W216" i="15"/>
  <c r="AD186" i="15"/>
  <c r="AE186" i="15"/>
  <c r="X216" i="15"/>
  <c r="AB216" i="15"/>
  <c r="Z186" i="15"/>
  <c r="AA186" i="15"/>
  <c r="AC186" i="15"/>
  <c r="Q216" i="15"/>
  <c r="R216" i="15"/>
  <c r="S216" i="15"/>
  <c r="R186" i="15"/>
  <c r="S186" i="15"/>
  <c r="Y157" i="15"/>
  <c r="Z157" i="15"/>
  <c r="AA157" i="15"/>
  <c r="U157" i="15"/>
  <c r="V157" i="15"/>
  <c r="W157" i="15"/>
  <c r="R157" i="15"/>
  <c r="S157" i="15"/>
  <c r="Q157" i="15"/>
  <c r="V137" i="15"/>
  <c r="W93" i="15"/>
  <c r="Z93" i="15"/>
  <c r="V92" i="15"/>
  <c r="Q93" i="15"/>
  <c r="AH94" i="15"/>
  <c r="AI94" i="15"/>
  <c r="R94" i="15"/>
  <c r="J495" i="15"/>
  <c r="J136" i="15"/>
  <c r="AB136" i="15"/>
  <c r="AC136" i="15"/>
  <c r="T136" i="15"/>
  <c r="X136" i="15"/>
  <c r="AA91" i="15"/>
  <c r="AD91" i="15"/>
  <c r="AE91" i="15"/>
  <c r="AH136" i="15"/>
  <c r="AI136" i="15"/>
  <c r="Y91" i="15"/>
  <c r="Q136" i="15"/>
  <c r="R136" i="15"/>
  <c r="S136" i="15"/>
  <c r="H449" i="15"/>
  <c r="H90" i="15"/>
  <c r="G449" i="15"/>
  <c r="G90" i="15"/>
  <c r="P90" i="15"/>
  <c r="V61" i="15"/>
  <c r="AC90" i="15"/>
  <c r="Z60" i="15"/>
  <c r="Q90" i="15"/>
  <c r="R90" i="15"/>
  <c r="S90" i="15"/>
  <c r="U60" i="15"/>
  <c r="Q60" i="15"/>
  <c r="AK74" i="19"/>
  <c r="AL74" i="19"/>
  <c r="AD74" i="19"/>
  <c r="Z74" i="19"/>
  <c r="Z76" i="19"/>
  <c r="AD76" i="19"/>
  <c r="AD70" i="19"/>
  <c r="AK102" i="19"/>
  <c r="AL102" i="19"/>
  <c r="AD102" i="19"/>
  <c r="AD95" i="19"/>
  <c r="Z95" i="19"/>
  <c r="AD93" i="19"/>
  <c r="AD98" i="19"/>
  <c r="Z135" i="19"/>
  <c r="AK135" i="19"/>
  <c r="AL135" i="19"/>
  <c r="AD139" i="19"/>
  <c r="AD123" i="19"/>
  <c r="AK112" i="19"/>
  <c r="AL112" i="19"/>
  <c r="Z115" i="19"/>
  <c r="AD115" i="19"/>
  <c r="AK56" i="19"/>
  <c r="AL56" i="19"/>
  <c r="AD56" i="19"/>
  <c r="Z56" i="19"/>
  <c r="AD52" i="19"/>
  <c r="AK34" i="19"/>
  <c r="AL34" i="19"/>
  <c r="AD34" i="19"/>
  <c r="AC39" i="19"/>
  <c r="Z32" i="19"/>
  <c r="AC33" i="19"/>
  <c r="AK32" i="19"/>
  <c r="AL32" i="19"/>
  <c r="AD32" i="19"/>
  <c r="Z34" i="19"/>
  <c r="W220" i="15"/>
  <c r="Z220" i="15"/>
  <c r="W219" i="15"/>
  <c r="Z219" i="15"/>
  <c r="W187" i="15"/>
  <c r="Z187" i="15"/>
  <c r="AC216" i="15"/>
  <c r="Z216" i="15"/>
  <c r="AA216" i="15"/>
  <c r="Y216" i="15"/>
  <c r="AD157" i="15"/>
  <c r="AE157" i="15"/>
  <c r="W137" i="15"/>
  <c r="Z137" i="15"/>
  <c r="W92" i="15"/>
  <c r="Z92" i="15"/>
  <c r="V94" i="15"/>
  <c r="S94" i="15"/>
  <c r="AA93" i="15"/>
  <c r="AD93" i="15"/>
  <c r="AE93" i="15"/>
  <c r="Y136" i="15"/>
  <c r="V136" i="15"/>
  <c r="W136" i="15"/>
  <c r="U136" i="15"/>
  <c r="T90" i="15"/>
  <c r="X90" i="15"/>
  <c r="Y90" i="15"/>
  <c r="Z61" i="15"/>
  <c r="W61" i="15"/>
  <c r="AA60" i="15"/>
  <c r="AD60" i="15"/>
  <c r="AE60" i="15"/>
  <c r="AK39" i="19"/>
  <c r="AL39" i="19"/>
  <c r="AD39" i="19"/>
  <c r="AK33" i="19"/>
  <c r="AL33" i="19"/>
  <c r="AD33" i="19"/>
  <c r="AA219" i="15"/>
  <c r="AD219" i="15"/>
  <c r="AE219" i="15"/>
  <c r="AA220" i="15"/>
  <c r="AD220" i="15"/>
  <c r="AE220" i="15"/>
  <c r="AA187" i="15"/>
  <c r="AD187" i="15"/>
  <c r="AE187" i="15"/>
  <c r="AD216" i="15"/>
  <c r="AE216" i="15"/>
  <c r="AA137" i="15"/>
  <c r="AD137" i="15"/>
  <c r="AE137" i="15"/>
  <c r="Z94" i="15"/>
  <c r="W94" i="15"/>
  <c r="AD92" i="15"/>
  <c r="AE92" i="15"/>
  <c r="AA92" i="15"/>
  <c r="Z136" i="15"/>
  <c r="AA61" i="15"/>
  <c r="AD61" i="15"/>
  <c r="AE61" i="15"/>
  <c r="U90" i="15"/>
  <c r="V90" i="15"/>
  <c r="AA94" i="15"/>
  <c r="AD94" i="15"/>
  <c r="AE94" i="15"/>
  <c r="AA136" i="15"/>
  <c r="AD136" i="15"/>
  <c r="AE136" i="15"/>
  <c r="W90" i="15"/>
  <c r="Z90" i="15"/>
  <c r="AA90" i="15"/>
  <c r="AD90" i="15"/>
  <c r="AE90" i="15"/>
  <c r="M85" i="18"/>
  <c r="J85" i="18"/>
  <c r="M71" i="13"/>
  <c r="O71" i="13"/>
  <c r="G84" i="13"/>
  <c r="J71" i="13"/>
  <c r="Q374" i="15"/>
  <c r="AC347" i="15"/>
  <c r="AD347" i="15"/>
  <c r="AE347" i="15"/>
  <c r="Y347" i="15"/>
  <c r="T314" i="15"/>
  <c r="U314" i="15"/>
  <c r="P314" i="15"/>
  <c r="Q314" i="15"/>
  <c r="D57" i="13"/>
  <c r="K71" i="13"/>
  <c r="L71" i="13"/>
  <c r="G57" i="13"/>
  <c r="D72" i="13"/>
  <c r="D84" i="13"/>
  <c r="E84" i="13"/>
  <c r="R314" i="15"/>
  <c r="X314" i="15"/>
  <c r="Y314" i="15"/>
  <c r="AB314" i="15"/>
  <c r="H84" i="13"/>
  <c r="F84" i="13"/>
  <c r="D29" i="18"/>
  <c r="F72" i="13"/>
  <c r="O72" i="13"/>
  <c r="G85" i="13"/>
  <c r="F57" i="13"/>
  <c r="N71" i="13"/>
  <c r="AC314" i="15"/>
  <c r="AD314" i="15"/>
  <c r="AE314" i="15"/>
  <c r="S314" i="15"/>
  <c r="V314" i="15"/>
  <c r="W314" i="15"/>
  <c r="Z314" i="15"/>
  <c r="AA314" i="15"/>
  <c r="H72" i="13"/>
  <c r="J72" i="13"/>
  <c r="M72" i="13"/>
  <c r="E85" i="13"/>
  <c r="H57" i="13"/>
  <c r="D85" i="18"/>
  <c r="D86" i="18"/>
  <c r="D58" i="13"/>
  <c r="D85" i="13"/>
  <c r="D73" i="13"/>
  <c r="K72" i="13"/>
  <c r="L72" i="13"/>
  <c r="G58" i="13"/>
  <c r="D66" i="18"/>
  <c r="H85" i="13"/>
  <c r="F85" i="13"/>
  <c r="F58" i="13"/>
  <c r="N72" i="13"/>
  <c r="O73" i="13"/>
  <c r="G86" i="13"/>
  <c r="F73" i="13"/>
  <c r="M73" i="13"/>
  <c r="H73" i="13"/>
  <c r="J73" i="13"/>
  <c r="E85" i="18"/>
  <c r="E66" i="18"/>
  <c r="H58" i="13"/>
  <c r="D74" i="13"/>
  <c r="D86" i="13"/>
  <c r="D59" i="13"/>
  <c r="K73" i="13"/>
  <c r="L73" i="13"/>
  <c r="G59" i="13"/>
  <c r="E86" i="13"/>
  <c r="F59" i="13"/>
  <c r="N73" i="13"/>
  <c r="H86" i="13"/>
  <c r="F86" i="13"/>
  <c r="F74" i="13"/>
  <c r="G87" i="13"/>
  <c r="O74" i="13"/>
  <c r="F85" i="18"/>
  <c r="G86" i="18"/>
  <c r="F66" i="18"/>
  <c r="H74" i="13"/>
  <c r="J74" i="13"/>
  <c r="M74" i="13"/>
  <c r="E87" i="13"/>
  <c r="H59" i="13"/>
  <c r="D87" i="13"/>
  <c r="D60" i="13"/>
  <c r="D75" i="13"/>
  <c r="K74" i="13"/>
  <c r="L74" i="13"/>
  <c r="G60" i="13"/>
  <c r="G88" i="13"/>
  <c r="F75" i="13"/>
  <c r="O75" i="13"/>
  <c r="H87" i="13"/>
  <c r="F87" i="13"/>
  <c r="F60" i="13"/>
  <c r="N74" i="13"/>
  <c r="G66" i="18"/>
  <c r="M75" i="13"/>
  <c r="E88" i="13"/>
  <c r="H75" i="13"/>
  <c r="J75" i="13"/>
  <c r="G85" i="18"/>
  <c r="H60" i="13"/>
  <c r="D61" i="13"/>
  <c r="D88" i="13"/>
  <c r="D76" i="13"/>
  <c r="L75" i="13"/>
  <c r="G61" i="13"/>
  <c r="K75" i="13"/>
  <c r="F76" i="13"/>
  <c r="O76" i="13"/>
  <c r="G89" i="13"/>
  <c r="F61" i="13"/>
  <c r="N75" i="13"/>
  <c r="H88" i="13"/>
  <c r="F88" i="13"/>
  <c r="H85" i="18"/>
  <c r="N70" i="18"/>
  <c r="H61" i="13"/>
  <c r="H66" i="18"/>
  <c r="H76" i="13"/>
  <c r="J76" i="13"/>
  <c r="E89" i="13"/>
  <c r="M76" i="13"/>
  <c r="D77" i="13"/>
  <c r="D62" i="13"/>
  <c r="D89" i="13"/>
  <c r="K76" i="13"/>
  <c r="L76" i="13"/>
  <c r="G62" i="13"/>
  <c r="F62" i="13"/>
  <c r="N76" i="13"/>
  <c r="H62" i="13"/>
  <c r="F89" i="13"/>
  <c r="H89" i="13"/>
  <c r="G90" i="13"/>
  <c r="F77" i="13"/>
  <c r="O77" i="13"/>
  <c r="O78" i="13"/>
  <c r="M77" i="13"/>
  <c r="M78" i="13"/>
  <c r="E90" i="13"/>
  <c r="H77" i="13"/>
  <c r="J77" i="13"/>
  <c r="D63" i="13"/>
  <c r="D90" i="13"/>
  <c r="J78" i="13"/>
  <c r="L77" i="13"/>
  <c r="G63" i="13"/>
  <c r="K77" i="13"/>
  <c r="H90" i="13"/>
  <c r="H91" i="13"/>
  <c r="F90" i="13"/>
  <c r="J79" i="13"/>
  <c r="D65" i="13"/>
  <c r="D64" i="13"/>
  <c r="F63" i="13"/>
  <c r="K78" i="13"/>
  <c r="N77" i="13"/>
  <c r="H63" i="13"/>
  <c r="N78" i="13"/>
  <c r="T218" i="15"/>
  <c r="I218" i="15"/>
  <c r="H575" i="15"/>
  <c r="AH262" i="15"/>
  <c r="AI262" i="15"/>
  <c r="H574" i="15"/>
  <c r="I217" i="15"/>
  <c r="T217" i="15"/>
  <c r="P217" i="15"/>
  <c r="G574" i="15"/>
  <c r="G619" i="15"/>
  <c r="G262" i="15"/>
  <c r="P262" i="15"/>
  <c r="J218" i="15"/>
  <c r="I575" i="15"/>
  <c r="X218" i="15"/>
  <c r="H619" i="15"/>
  <c r="H262" i="15"/>
  <c r="U218" i="15"/>
  <c r="V218" i="15"/>
  <c r="W218" i="15"/>
  <c r="U217" i="15"/>
  <c r="X217" i="15"/>
  <c r="J217" i="15"/>
  <c r="I574" i="15"/>
  <c r="I619" i="15"/>
  <c r="I262" i="15"/>
  <c r="X262" i="15"/>
  <c r="R262" i="15"/>
  <c r="S262" i="15"/>
  <c r="Q262" i="15"/>
  <c r="T262" i="15"/>
  <c r="R217" i="15"/>
  <c r="S217" i="15"/>
  <c r="Q217" i="15"/>
  <c r="J575" i="15"/>
  <c r="AB218" i="15"/>
  <c r="Y218" i="15"/>
  <c r="Z218" i="15"/>
  <c r="AA218" i="15"/>
  <c r="Z262" i="15"/>
  <c r="AA262" i="15"/>
  <c r="Y262" i="15"/>
  <c r="U262" i="15"/>
  <c r="V262" i="15"/>
  <c r="W262" i="15"/>
  <c r="J574" i="15"/>
  <c r="J619" i="15"/>
  <c r="J262" i="15"/>
  <c r="AB262" i="15"/>
  <c r="AB217" i="15"/>
  <c r="Y217" i="15"/>
  <c r="V217" i="15"/>
  <c r="W217" i="15"/>
  <c r="AC218" i="15"/>
  <c r="AD218" i="15"/>
  <c r="AE218" i="15"/>
  <c r="Z217" i="15"/>
  <c r="AA217" i="15"/>
  <c r="AD217" i="15"/>
  <c r="AE217" i="15"/>
  <c r="AC217" i="15"/>
  <c r="AC262" i="15"/>
  <c r="AD262" i="15"/>
  <c r="AE262" i="15"/>
  <c r="M82" i="21"/>
  <c r="J147" i="21"/>
  <c r="H81" i="21"/>
  <c r="D81" i="21"/>
  <c r="P81" i="21"/>
  <c r="Q81" i="21"/>
  <c r="F151" i="21"/>
  <c r="J136" i="21"/>
  <c r="G81" i="21"/>
  <c r="G47" i="21"/>
  <c r="P70" i="21"/>
  <c r="Q70" i="21"/>
  <c r="N147" i="21"/>
  <c r="L82" i="21"/>
  <c r="O129" i="21"/>
  <c r="K70" i="21"/>
  <c r="K82" i="21"/>
  <c r="K81" i="21"/>
  <c r="J81" i="21"/>
  <c r="I82" i="21"/>
  <c r="O142" i="21"/>
  <c r="H82" i="21"/>
  <c r="G82" i="21"/>
  <c r="O69" i="21"/>
  <c r="O130" i="21"/>
  <c r="O132" i="21"/>
  <c r="O133" i="21"/>
  <c r="E148" i="21"/>
  <c r="I147" i="21"/>
  <c r="O80" i="21"/>
  <c r="O144" i="21"/>
  <c r="O141" i="21"/>
  <c r="F81" i="21"/>
  <c r="O143" i="21"/>
  <c r="F147" i="21"/>
  <c r="F70" i="21"/>
  <c r="F137" i="21"/>
  <c r="F136" i="21"/>
  <c r="P47" i="21"/>
  <c r="Q47" i="21"/>
  <c r="N48" i="21"/>
  <c r="N148" i="21"/>
  <c r="M49" i="21"/>
  <c r="M149" i="21"/>
  <c r="M137" i="21"/>
  <c r="K147" i="21"/>
  <c r="J37" i="21"/>
  <c r="J49" i="21"/>
  <c r="J149" i="21"/>
  <c r="I37" i="21"/>
  <c r="I137" i="21"/>
  <c r="I48" i="21"/>
  <c r="I148" i="21"/>
  <c r="O31" i="21"/>
  <c r="O131" i="21"/>
  <c r="H131" i="21"/>
  <c r="H136" i="21"/>
  <c r="H48" i="21"/>
  <c r="H148" i="21"/>
  <c r="O51" i="21"/>
  <c r="O151" i="21"/>
  <c r="G136" i="21"/>
  <c r="G147" i="21"/>
  <c r="G48" i="21"/>
  <c r="G148" i="21"/>
  <c r="O45" i="21"/>
  <c r="O145" i="21"/>
  <c r="F49" i="21"/>
  <c r="F149" i="21"/>
  <c r="E136" i="21"/>
  <c r="F48" i="21"/>
  <c r="O47" i="21"/>
  <c r="G151" i="21"/>
  <c r="F152" i="21"/>
  <c r="O128" i="21"/>
  <c r="D37" i="21"/>
  <c r="D49" i="21"/>
  <c r="O81" i="21"/>
  <c r="O147" i="21"/>
  <c r="F148" i="21"/>
  <c r="F82" i="21"/>
  <c r="O82" i="21"/>
  <c r="O70" i="21"/>
  <c r="I49" i="21"/>
  <c r="I149" i="21"/>
  <c r="L137" i="21"/>
  <c r="L49" i="21"/>
  <c r="L149" i="21"/>
  <c r="G137" i="21"/>
  <c r="G49" i="21"/>
  <c r="G149" i="21"/>
  <c r="J148" i="21"/>
  <c r="E49" i="21"/>
  <c r="E137" i="21"/>
  <c r="O37" i="21"/>
  <c r="O137" i="21"/>
  <c r="J137" i="21"/>
  <c r="O36" i="21"/>
  <c r="O136" i="21"/>
  <c r="H49" i="21"/>
  <c r="H149" i="21"/>
  <c r="K49" i="21"/>
  <c r="K149" i="21"/>
  <c r="L48" i="21"/>
  <c r="L148" i="21"/>
  <c r="N37" i="21"/>
  <c r="P36" i="21"/>
  <c r="Q36" i="21"/>
  <c r="L136" i="21"/>
  <c r="D48" i="21"/>
  <c r="D148" i="21"/>
  <c r="D149" i="21"/>
  <c r="P37" i="21"/>
  <c r="Q37" i="21"/>
  <c r="P48" i="21"/>
  <c r="Q48" i="21"/>
  <c r="D137" i="21"/>
  <c r="N137" i="21"/>
  <c r="N49" i="21"/>
  <c r="O49" i="21"/>
  <c r="O149" i="21"/>
  <c r="E149" i="21"/>
  <c r="O48" i="21"/>
  <c r="O148" i="21"/>
  <c r="N149" i="21"/>
  <c r="P49" i="21"/>
  <c r="Q49" i="21"/>
  <c r="P113" i="21"/>
  <c r="Q113" i="21"/>
  <c r="L114" i="21"/>
  <c r="J103" i="21"/>
  <c r="J115" i="21"/>
  <c r="G114" i="21"/>
  <c r="K103" i="21"/>
  <c r="K115" i="21"/>
  <c r="P103" i="21"/>
  <c r="Q103" i="21"/>
  <c r="L103" i="21"/>
  <c r="O102" i="21"/>
  <c r="E103" i="21"/>
  <c r="E114" i="21"/>
  <c r="E115" i="21"/>
  <c r="O103" i="21"/>
  <c r="O115" i="21"/>
  <c r="H115" i="21"/>
  <c r="D114" i="21"/>
  <c r="P114" i="21"/>
  <c r="Q114" i="21"/>
  <c r="O113" i="21"/>
  <c r="F114" i="21"/>
  <c r="O114" i="21"/>
  <c r="M114" i="21"/>
  <c r="I114" i="21"/>
  <c r="K86" i="18"/>
  <c r="E86" i="18"/>
  <c r="N85" i="18"/>
  <c r="I100" i="18"/>
  <c r="M100" i="18"/>
  <c r="E21" i="18"/>
  <c r="E29" i="18"/>
  <c r="K24" i="21"/>
  <c r="K57" i="21"/>
  <c r="K124" i="21"/>
  <c r="K155" i="21"/>
  <c r="J86" i="18"/>
  <c r="H102" i="18"/>
  <c r="F90" i="21"/>
  <c r="F124" i="21"/>
  <c r="F155" i="21"/>
  <c r="M26" i="18"/>
  <c r="N24" i="21"/>
  <c r="N57" i="21"/>
  <c r="N90" i="21"/>
  <c r="M24" i="21"/>
  <c r="M57" i="21"/>
  <c r="H19" i="18"/>
  <c r="G21" i="18"/>
  <c r="G29" i="18"/>
  <c r="F102" i="18"/>
  <c r="L24" i="21"/>
  <c r="L57" i="21"/>
  <c r="H86" i="18"/>
  <c r="L86" i="18"/>
  <c r="F86" i="18"/>
  <c r="N99" i="18"/>
  <c r="J100" i="18"/>
  <c r="M86" i="18"/>
  <c r="I86" i="18"/>
  <c r="G102" i="18"/>
  <c r="E102" i="18"/>
  <c r="E103" i="18"/>
  <c r="F67" i="18"/>
  <c r="K100" i="18"/>
  <c r="F100" i="18"/>
  <c r="H100" i="18"/>
  <c r="F21" i="18"/>
  <c r="F29" i="18"/>
  <c r="F32" i="18"/>
  <c r="I90" i="21"/>
  <c r="I124" i="21"/>
  <c r="I155" i="21"/>
  <c r="H124" i="21"/>
  <c r="H155" i="21"/>
  <c r="H90" i="21"/>
  <c r="G124" i="21"/>
  <c r="G155" i="21"/>
  <c r="G90" i="21"/>
  <c r="E124" i="21"/>
  <c r="E155" i="21"/>
  <c r="E90" i="21"/>
  <c r="N124" i="21"/>
  <c r="N155" i="21"/>
  <c r="J90" i="21"/>
  <c r="G67" i="18"/>
  <c r="G32" i="18"/>
  <c r="E32" i="18"/>
  <c r="K90" i="21"/>
  <c r="H67" i="18"/>
  <c r="E67" i="18"/>
  <c r="D67" i="18"/>
  <c r="D102" i="18"/>
  <c r="D103" i="18"/>
  <c r="D32" i="18"/>
  <c r="G103" i="18"/>
  <c r="M90" i="21"/>
  <c r="M124" i="21"/>
  <c r="M155" i="21"/>
  <c r="F103" i="18"/>
  <c r="I19" i="18"/>
  <c r="H21" i="18"/>
  <c r="H29" i="18"/>
  <c r="L124" i="21"/>
  <c r="L155" i="21"/>
  <c r="L90" i="21"/>
  <c r="I21" i="18"/>
  <c r="I29" i="18"/>
  <c r="J19" i="18"/>
  <c r="H103" i="18"/>
  <c r="H32" i="18"/>
  <c r="K19" i="18"/>
  <c r="J21" i="18"/>
  <c r="J29" i="18"/>
  <c r="I35" i="18"/>
  <c r="I66" i="18"/>
  <c r="J35" i="18"/>
  <c r="J66" i="18"/>
  <c r="J102" i="18"/>
  <c r="J103" i="18"/>
  <c r="L19" i="18"/>
  <c r="K21" i="18"/>
  <c r="K29" i="18"/>
  <c r="J32" i="18"/>
  <c r="I102" i="18"/>
  <c r="I103" i="18"/>
  <c r="I67" i="18"/>
  <c r="J67" i="18"/>
  <c r="I32" i="18"/>
  <c r="K35" i="18"/>
  <c r="K66" i="18"/>
  <c r="K102" i="18"/>
  <c r="K103" i="18"/>
  <c r="M19" i="18"/>
  <c r="M21" i="18"/>
  <c r="M29" i="18"/>
  <c r="L21" i="18"/>
  <c r="L29" i="18"/>
  <c r="L35" i="18"/>
  <c r="L66" i="18"/>
  <c r="L67" i="18"/>
  <c r="K32" i="18"/>
  <c r="K67" i="18"/>
  <c r="M35" i="18"/>
  <c r="M66" i="18"/>
  <c r="M102" i="18"/>
  <c r="M103" i="18"/>
  <c r="N29" i="18"/>
  <c r="L32" i="18"/>
  <c r="L102" i="18"/>
  <c r="L103" i="18"/>
  <c r="N35" i="18"/>
  <c r="N66" i="18"/>
  <c r="N102" i="18"/>
  <c r="N103" i="18"/>
  <c r="M32" i="18"/>
  <c r="N32" i="18"/>
  <c r="M67" i="18"/>
</calcChain>
</file>

<file path=xl/comments1.xml><?xml version="1.0" encoding="utf-8"?>
<comments xmlns="http://schemas.openxmlformats.org/spreadsheetml/2006/main">
  <authors>
    <author>Anthony Rush</author>
  </authors>
  <commentList>
    <comment ref="C32" authorId="0" shapeId="0">
      <text>
        <r>
          <rPr>
            <b/>
            <sz val="9"/>
            <color indexed="81"/>
            <rFont val="Tahoma"/>
            <family val="2"/>
          </rPr>
          <t>Anthony Rush:</t>
        </r>
        <r>
          <rPr>
            <sz val="9"/>
            <color indexed="81"/>
            <rFont val="Tahoma"/>
            <family val="2"/>
          </rPr>
          <t xml:space="preserve">
Try going here for a list:
https://www.lgnsw.org.au/about-us/council-links</t>
        </r>
      </text>
    </comment>
  </commentList>
</comments>
</file>

<file path=xl/sharedStrings.xml><?xml version="1.0" encoding="utf-8"?>
<sst xmlns="http://schemas.openxmlformats.org/spreadsheetml/2006/main" count="2291" uniqueCount="798">
  <si>
    <t>(Enter the current annual charge and the proposed annual charge for each year of the application.)</t>
  </si>
  <si>
    <t>Ordinary Residential Rates - without proposed special variation</t>
  </si>
  <si>
    <t>Ordinary Business Rates - without proposed special variation</t>
  </si>
  <si>
    <t>Ordinary Farmland Rates - without proposed special variation</t>
  </si>
  <si>
    <t xml:space="preserve">          - both with and without the variation.</t>
  </si>
  <si>
    <t>Worksheet 1 - Identification</t>
  </si>
  <si>
    <t>All shaded areas on this schedule will calculate automatically from the data entered.</t>
  </si>
  <si>
    <t>Enter any proposed annual charges for each year of the proposed variation.</t>
  </si>
  <si>
    <t xml:space="preserve">      All ordinary rates and special rates need to be included.</t>
  </si>
  <si>
    <t>Rate peg increase - first year</t>
  </si>
  <si>
    <t>Additional increase - first year</t>
  </si>
  <si>
    <t>Crown Land adjustment - first year</t>
  </si>
  <si>
    <t>Total special variation - first year</t>
  </si>
  <si>
    <t xml:space="preserve">  Email:</t>
  </si>
  <si>
    <t>$0 to $99,999</t>
  </si>
  <si>
    <t>$3,000,000 and greater</t>
  </si>
  <si>
    <t>508(2) Question</t>
  </si>
  <si>
    <t>Starting Dates</t>
  </si>
  <si>
    <t>V-Lookup Table providing worksheet 2 dates</t>
  </si>
  <si>
    <t>Hills Shire Council, The</t>
  </si>
  <si>
    <t>508A</t>
  </si>
  <si>
    <t>Applicable to the first year of the application</t>
  </si>
  <si>
    <r>
      <t xml:space="preserve">This worksheet must reflect the rating structure levied in the previous year
</t>
    </r>
    <r>
      <rPr>
        <b/>
        <sz val="10"/>
        <rFont val="Arial"/>
        <family val="2"/>
      </rPr>
      <t xml:space="preserve">
(NOTE: Valuations used here are to be taken from Council's valuation list on 1 July of the above year and are to include supplementaries having
 the same base date and furnished to Council during that year and estimates of increases in valuations provided to the Council under section 513)</t>
    </r>
  </si>
  <si>
    <t>Base Amount
$</t>
  </si>
  <si>
    <t>Minimum
Amount
$</t>
  </si>
  <si>
    <t>Calculation of Notional General Income - Special Rates</t>
  </si>
  <si>
    <t>Calculation of Notional General Income - Annual Charges</t>
  </si>
  <si>
    <t>Annual Charges (excluding water supply, sewerage and domestic and non-domestic waste management services)</t>
  </si>
  <si>
    <t>Amount of Charge
$</t>
  </si>
  <si>
    <t xml:space="preserve">       Total Notional General Income:</t>
  </si>
  <si>
    <t>Land Value
as at
start of year</t>
  </si>
  <si>
    <t>to be recouped in this year</t>
  </si>
  <si>
    <t>Prior year Notional General Income</t>
  </si>
  <si>
    <t>Adjusted first year Notional General Income</t>
  </si>
  <si>
    <t>Total Adjustments</t>
  </si>
  <si>
    <t>First year Permissible General Income</t>
  </si>
  <si>
    <t>Anticipated Catchup/(Excess) in the first year</t>
  </si>
  <si>
    <t>Average Increases
Year 1</t>
  </si>
  <si>
    <t>Average Increases
Year 2</t>
  </si>
  <si>
    <t>Average Increases
Year 3</t>
  </si>
  <si>
    <t>Average Increases
Year 4</t>
  </si>
  <si>
    <t>Average Increases
Year 5</t>
  </si>
  <si>
    <t>Average Increases
Year 6</t>
  </si>
  <si>
    <t>Average Increases
Year 7</t>
  </si>
  <si>
    <t>Annual</t>
  </si>
  <si>
    <t>Cumulative</t>
  </si>
  <si>
    <t>Domestic Waste Management Services - Annual Charge</t>
  </si>
  <si>
    <t>Domestic Waste Management Services</t>
  </si>
  <si>
    <t>Description</t>
  </si>
  <si>
    <t>Annual
Charge
Year 1</t>
  </si>
  <si>
    <t>Annual
Charge
Year 2</t>
  </si>
  <si>
    <t>Annual
Charge
Year 3</t>
  </si>
  <si>
    <t>Annual
Charge
Year 4</t>
  </si>
  <si>
    <t>Annual
Charge
Year 5</t>
  </si>
  <si>
    <t>Annual
Charge
Year 6</t>
  </si>
  <si>
    <t>Annual
Charge
Year 7</t>
  </si>
  <si>
    <t>Annual Increases
Year 1</t>
  </si>
  <si>
    <t>Annual Increases
Year 2</t>
  </si>
  <si>
    <t>Annual Increases
Year 3</t>
  </si>
  <si>
    <t>Annual Increases
Year 4</t>
  </si>
  <si>
    <t>Annual Increases
Year 5</t>
  </si>
  <si>
    <t>Annual Increases
Year 6</t>
  </si>
  <si>
    <t>Annual Increases
Year 7</t>
  </si>
  <si>
    <t>Water Supply Services - Annual Charge</t>
  </si>
  <si>
    <t>Sewerage Services - Annual Charges</t>
  </si>
  <si>
    <t>Sewerage Services - Annual Charge</t>
  </si>
  <si>
    <t>Other Annual Charges</t>
  </si>
  <si>
    <t>%</t>
  </si>
  <si>
    <t>Instructions</t>
  </si>
  <si>
    <t>Council Name:</t>
  </si>
  <si>
    <t>Select Council Name</t>
  </si>
  <si>
    <t>$</t>
  </si>
  <si>
    <t>Select</t>
  </si>
  <si>
    <t>Albury City Council</t>
  </si>
  <si>
    <t>Armidale Dumaresq Council</t>
  </si>
  <si>
    <t>Yes</t>
  </si>
  <si>
    <t>No</t>
  </si>
  <si>
    <t>Ballina Shire Council</t>
  </si>
  <si>
    <t>Balranald Shire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</si>
  <si>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</si>
  <si>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</si>
  <si>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</si>
  <si>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</si>
  <si>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</si>
  <si>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</si>
  <si>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</si>
  <si>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</si>
  <si>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</si>
  <si>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</si>
  <si>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</si>
  <si>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</si>
  <si>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</si>
  <si>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</si>
  <si>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</si>
  <si>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</si>
  <si>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</si>
  <si>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Carrathool Shire Council</t>
  </si>
  <si>
    <t>Central Darling Shire Council</t>
  </si>
  <si>
    <t>Cessnock City Council</t>
  </si>
  <si>
    <t>Clarence Valley Council</t>
  </si>
  <si>
    <t>Cobar Shire Council</t>
  </si>
  <si>
    <t>Coffs Harbour City Council</t>
  </si>
  <si>
    <t>Coolamon Shire Council</t>
  </si>
  <si>
    <t>Coonamble Shire Council</t>
  </si>
  <si>
    <t>Corowa Shire Council</t>
  </si>
  <si>
    <t>Cowra Shire Council</t>
  </si>
  <si>
    <t>Dungog Shire Council</t>
  </si>
  <si>
    <t>Eurobodalla Shire Council</t>
  </si>
  <si>
    <t>Fairfield City Council</t>
  </si>
  <si>
    <t>Forbes Shire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</si>
  <si>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</si>
  <si>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</si>
  <si>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</si>
  <si>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</si>
  <si>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</si>
  <si>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</si>
  <si>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</si>
  <si>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</si>
  <si>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</si>
  <si>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Holroyd City Council</t>
  </si>
  <si>
    <t>Hornsby, The Council of the Shire of</t>
  </si>
  <si>
    <t>Hunters Hill, The Council of the Municipality of</t>
  </si>
  <si>
    <t>Inverell Shire Council</t>
  </si>
  <si>
    <t>Junee Shire Council</t>
  </si>
  <si>
    <t>Kempsey Shire Council</t>
  </si>
  <si>
    <t>Kiama, The Council of the Municipality of</t>
  </si>
  <si>
    <t>Ku-ring-gai Municipal Council</t>
  </si>
  <si>
    <t>Kyogle Council</t>
  </si>
  <si>
    <t>Lachlan Shire Council</t>
  </si>
  <si>
    <t>Lake Macquarie City Council</t>
  </si>
  <si>
    <t>Lane Cove Council</t>
  </si>
  <si>
    <t>Leeton Shire Council</t>
  </si>
  <si>
    <t>Lismore City Council</t>
  </si>
  <si>
    <t>Lithgow Council, City of</t>
  </si>
  <si>
    <t>Liverpool City Council</t>
  </si>
  <si>
    <t>Liverpool Plains Shire Council</t>
  </si>
  <si>
    <t>Lockhart Shire Council</t>
  </si>
  <si>
    <t>Maitland City Council</t>
  </si>
  <si>
    <t>Mid-Western Regional Council</t>
  </si>
  <si>
    <t>Moree Plains Shire Council</t>
  </si>
  <si>
    <t>Mosman Municipal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</si>
  <si>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</si>
  <si>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</si>
  <si>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</si>
  <si>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</si>
  <si>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</si>
  <si>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</si>
  <si>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</si>
  <si>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</si>
  <si>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</si>
  <si>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</si>
  <si>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Parkes Shire Council</t>
  </si>
  <si>
    <t>Penrith City Council</t>
  </si>
  <si>
    <t>Pittwater Council</t>
  </si>
  <si>
    <t>Port Macquarie-Hastings Council</t>
  </si>
  <si>
    <t>Port Stephens Council</t>
  </si>
  <si>
    <t>Randwick City Council</t>
  </si>
  <si>
    <t>Richmond Valley Council</t>
  </si>
  <si>
    <t>Rockdale City Council</t>
  </si>
  <si>
    <t>Ryde City Council</t>
  </si>
  <si>
    <t>Shellharbour City Council</t>
  </si>
  <si>
    <t>Shoalhaven City Council</t>
  </si>
  <si>
    <t>Singleton Shire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</si>
  <si>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</si>
  <si>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</si>
  <si>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</si>
  <si>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</si>
  <si>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</si>
  <si>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</si>
  <si>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</si>
  <si>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</si>
  <si>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</si>
  <si>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</si>
  <si>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</si>
  <si>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</si>
  <si>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</si>
  <si>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</si>
  <si>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</si>
  <si>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</si>
  <si>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</si>
  <si>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</si>
  <si>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</si>
  <si>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</si>
  <si>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</si>
  <si>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</si>
  <si>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</si>
  <si>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Yass Valley Council</t>
  </si>
  <si>
    <t>WORKSHEET 2</t>
  </si>
  <si>
    <t>Rating Category   (s514-518)</t>
  </si>
  <si>
    <t xml:space="preserve">Name of 
sub-category </t>
  </si>
  <si>
    <t>Ad Valorem Rate</t>
  </si>
  <si>
    <t>Base Amount %</t>
  </si>
  <si>
    <t>Number on Minimum</t>
  </si>
  <si>
    <t>Land Value
(see note above)</t>
  </si>
  <si>
    <t>Land Value of Land on Minimum</t>
  </si>
  <si>
    <t>CAT</t>
  </si>
  <si>
    <t>SUBCAT</t>
  </si>
  <si>
    <t>NO_ASSESS</t>
  </si>
  <si>
    <t>ADVAL</t>
  </si>
  <si>
    <t>BASE$</t>
  </si>
  <si>
    <t>MIN</t>
  </si>
  <si>
    <t>NO_MIN</t>
  </si>
  <si>
    <t>LANDVAL</t>
  </si>
  <si>
    <t>LANDVAL_MIN</t>
  </si>
  <si>
    <t>NOT_REV</t>
  </si>
  <si>
    <t>Farmland</t>
  </si>
  <si>
    <t>&gt;0</t>
  </si>
  <si>
    <t>Residential</t>
  </si>
  <si>
    <t>Mining</t>
  </si>
  <si>
    <t>Business</t>
  </si>
  <si>
    <t>Total Assessments:</t>
  </si>
  <si>
    <t>Total Rateable Land Value:</t>
  </si>
  <si>
    <t>Sub-Total:</t>
  </si>
  <si>
    <r>
      <t>Note:</t>
    </r>
    <r>
      <rPr>
        <sz val="10"/>
        <rFont val="Arial"/>
        <family val="2"/>
      </rPr>
      <t xml:space="preserve"> Section </t>
    </r>
    <r>
      <rPr>
        <b/>
        <sz val="10"/>
        <rFont val="Arial"/>
        <family val="2"/>
      </rPr>
      <t>505(a)</t>
    </r>
    <r>
      <rPr>
        <sz val="10"/>
        <rFont val="Arial"/>
        <family val="2"/>
      </rPr>
      <t xml:space="preserve"> of the Act provides for those rates and charges that are to be included in general income, including certain section 501 annual charges.</t>
    </r>
  </si>
  <si>
    <t>WORKSHEET 3</t>
  </si>
  <si>
    <t>LESS: Valuation Objection Income - Proposed</t>
  </si>
  <si>
    <t>WORKSHEET 4</t>
  </si>
  <si>
    <t>Less:</t>
  </si>
  <si>
    <t>Plus:</t>
  </si>
  <si>
    <t>Minus:</t>
  </si>
  <si>
    <t>Category</t>
  </si>
  <si>
    <t xml:space="preserve">APPLICATION FOR A SPECIAL VARIATION </t>
  </si>
  <si>
    <t>TO GENERAL INCOME</t>
  </si>
  <si>
    <t>NOTE:</t>
  </si>
  <si>
    <t>►</t>
  </si>
  <si>
    <t>u</t>
  </si>
  <si>
    <t>w</t>
  </si>
  <si>
    <t>Worksheet 4 - Calculation</t>
  </si>
  <si>
    <t>This part of the application must be completed in conjunction with Part B</t>
  </si>
  <si>
    <t>Plus/Minus:</t>
  </si>
  <si>
    <t xml:space="preserve">  THE INDEPENDENT PRICING AND REGULATORY TRIBUNAL OF NSW</t>
  </si>
  <si>
    <t>Annual Charges</t>
  </si>
  <si>
    <t>Note:</t>
  </si>
  <si>
    <t>Contact Details:</t>
  </si>
  <si>
    <t>Y 1</t>
  </si>
  <si>
    <t>Y 2</t>
  </si>
  <si>
    <t>Y 3</t>
  </si>
  <si>
    <t>Y 4</t>
  </si>
  <si>
    <t>Y 5</t>
  </si>
  <si>
    <t>Y 6</t>
  </si>
  <si>
    <t>Y 7</t>
  </si>
  <si>
    <t xml:space="preserve">                 </t>
  </si>
  <si>
    <t>Number of Assessments</t>
  </si>
  <si>
    <t>Rate peg only</t>
  </si>
  <si>
    <t>2 years</t>
  </si>
  <si>
    <t>3 years</t>
  </si>
  <si>
    <t>4 years</t>
  </si>
  <si>
    <t>5 years</t>
  </si>
  <si>
    <t>6 years</t>
  </si>
  <si>
    <t>7 years</t>
  </si>
  <si>
    <t>Yes - fully the same</t>
  </si>
  <si>
    <t>Partly the same</t>
  </si>
  <si>
    <t>Not the same</t>
  </si>
  <si>
    <t>In part</t>
  </si>
  <si>
    <t>Y 0</t>
  </si>
  <si>
    <t>Expiring special variations questions</t>
  </si>
  <si>
    <t>No. of years</t>
  </si>
  <si>
    <t>Existing special variation due to expire</t>
  </si>
  <si>
    <t>If a second expiring variation</t>
  </si>
  <si>
    <t>Continue funding from expiring variation?</t>
  </si>
  <si>
    <t>Same purpose for continued funding?</t>
  </si>
  <si>
    <t xml:space="preserve">  Name:</t>
  </si>
  <si>
    <t xml:space="preserve">  Position:</t>
  </si>
  <si>
    <t xml:space="preserve"> Telephone:</t>
  </si>
  <si>
    <t>Select 1st yr</t>
  </si>
  <si>
    <t>Requested annual percentage increases</t>
  </si>
  <si>
    <t>WORKSHEET 6</t>
  </si>
  <si>
    <t>Year 1</t>
  </si>
  <si>
    <t>Year 2</t>
  </si>
  <si>
    <t>Year 3</t>
  </si>
  <si>
    <t>Year 4</t>
  </si>
  <si>
    <t>Year 5</t>
  </si>
  <si>
    <t>Year 6</t>
  </si>
  <si>
    <t>Year 7</t>
  </si>
  <si>
    <t>Year 8</t>
  </si>
  <si>
    <t>Year 9</t>
  </si>
  <si>
    <t>Year 10</t>
  </si>
  <si>
    <t>Sum of 10 years</t>
  </si>
  <si>
    <t>Ordinary Residential Rates - with proposed special variation</t>
  </si>
  <si>
    <t>Ordinary Business Rates - with proposed special variation</t>
  </si>
  <si>
    <t>$100,000 to $199,999</t>
  </si>
  <si>
    <t>$200,000 to $299,999</t>
  </si>
  <si>
    <t>$300,000 to $399,999</t>
  </si>
  <si>
    <t>$400,000 to $499,999</t>
  </si>
  <si>
    <t>$500,000 to $599,999</t>
  </si>
  <si>
    <t>$600,000 to $699,999</t>
  </si>
  <si>
    <t>$700,000 to $799,999</t>
  </si>
  <si>
    <t>$800,000 to $899,999</t>
  </si>
  <si>
    <t>$900,000 to $999,999</t>
  </si>
  <si>
    <t>Land Value</t>
  </si>
  <si>
    <t>$1,000,000 to $1,499,999</t>
  </si>
  <si>
    <t>$1,500,000 to $1,999,999</t>
  </si>
  <si>
    <t>$2,000,000 to $2,999,999</t>
  </si>
  <si>
    <t>Land value (for calculation of rates)</t>
  </si>
  <si>
    <t>Increases
Year 1</t>
  </si>
  <si>
    <t>Increases
Year 2</t>
  </si>
  <si>
    <t>Increases
Year 3</t>
  </si>
  <si>
    <t>Increases
Year 4</t>
  </si>
  <si>
    <t>Increases
Year 5</t>
  </si>
  <si>
    <t>Increases
Year 6</t>
  </si>
  <si>
    <t>Increases
Year 7</t>
  </si>
  <si>
    <t>Ordinary Residential Rates</t>
  </si>
  <si>
    <t>Ordinary Business Rates</t>
  </si>
  <si>
    <t>Ordinary Farmland Rates</t>
  </si>
  <si>
    <t>Ordinary Farmland Rates - with proposed special variation</t>
  </si>
  <si>
    <t>WORKSHEET 1</t>
  </si>
  <si>
    <t>Change timing</t>
  </si>
  <si>
    <t>date</t>
  </si>
  <si>
    <t>Sub-category or Special Rate name</t>
  </si>
  <si>
    <t>Other First Year Adjustments:</t>
  </si>
  <si>
    <t>Year 0 (Current Rate)</t>
  </si>
  <si>
    <t>Calculation of Notional General Income - Ordinary Rates</t>
  </si>
  <si>
    <t>Valuation Objections claimed in prior year</t>
  </si>
  <si>
    <t xml:space="preserve">      It also aims to compare average rates with and without the proposed special variation.</t>
  </si>
  <si>
    <t>Annual % increase</t>
  </si>
  <si>
    <t>Cumulative % increase</t>
  </si>
  <si>
    <t>Expiring special variations (SVs)</t>
  </si>
  <si>
    <t xml:space="preserve">     The aim of this sheet is to show the minimum rate increase (if applicable), the average rate increase per sub-category</t>
  </si>
  <si>
    <t xml:space="preserve">    Note: rate estimates should reflect expected minimum or average rates, inclusive of any expiring variations.</t>
  </si>
  <si>
    <t>Minimum Increases
Year 1</t>
  </si>
  <si>
    <t>Minimum Increases
Year 2</t>
  </si>
  <si>
    <t>Minimum Increases
Year 3</t>
  </si>
  <si>
    <t>Minimum Increases
Year 4</t>
  </si>
  <si>
    <t>Minimum Increases
Year 5</t>
  </si>
  <si>
    <t>Minimum Increases
Year 6</t>
  </si>
  <si>
    <t>Minimum Increases
Year 7</t>
  </si>
  <si>
    <t>Average Ordinary and Special Rates - with proposed special variation</t>
  </si>
  <si>
    <t>IMPACT ON MINIMUM RATES, AVERAGE RATES AND OTHER CHARGES</t>
  </si>
  <si>
    <t xml:space="preserve">    Minimum Rates - with proposed special variation</t>
  </si>
  <si>
    <t>Ordinary and Special Average Rates</t>
  </si>
  <si>
    <t xml:space="preserve">      (inclusive of all relevant rates) and the proposed annual charges in each year of the proposed special variation.</t>
  </si>
  <si>
    <t>Guidelines for the preparation of an application for a special variation to general income</t>
  </si>
  <si>
    <t>Worksheet 5a - Impact on Ratepayers (part 1)</t>
  </si>
  <si>
    <t>Worksheet 5b - Impact on Ratepayers (part 2)</t>
  </si>
  <si>
    <t>WORKSHEET 5a</t>
  </si>
  <si>
    <t>WORKSHEET 5b</t>
  </si>
  <si>
    <t>Notional General Income</t>
  </si>
  <si>
    <t>Adjusted Notional General income</t>
  </si>
  <si>
    <t>Above the rate peg</t>
  </si>
  <si>
    <t>Special Variation % increase requested</t>
  </si>
  <si>
    <t>Other 1st-year adjustments</t>
  </si>
  <si>
    <t>- in % terms</t>
  </si>
  <si>
    <t>Cumulative rise in PGI above the Rate Peg</t>
  </si>
  <si>
    <t>Cumulative PGI under the Rate Peg</t>
  </si>
  <si>
    <t>Cumulative rise in PGI above renewed ESV and Rate Peg</t>
  </si>
  <si>
    <t>Increase in Permissable General Income (PGI)</t>
  </si>
  <si>
    <t>Permissible General Income (PGI)</t>
  </si>
  <si>
    <t>Annual % increase in PGI</t>
  </si>
  <si>
    <t>PGI if only the Rate Peg applied</t>
  </si>
  <si>
    <t>PGI if expiring SV renewed and Rate Peg applied</t>
  </si>
  <si>
    <t>Total rise in PGI - in $ terms</t>
  </si>
  <si>
    <t>Has the council had a general land revaluation in Year 0?:</t>
  </si>
  <si>
    <t>Land Valuation question WK5a</t>
  </si>
  <si>
    <t>Where a council has received a general land revaluation in Year 0, the increase in rates between between Year 0 and Year 1, and 
all subsequent cumulative increases, in the tables below, will not be indicative of ratepayer impact. Please complete the tables using the number of assessments from the first year of the special variation period (Year 1) as IPART will still consider the impact for increases after Year 1.</t>
  </si>
  <si>
    <t xml:space="preserve">Notional
Income
</t>
  </si>
  <si>
    <t xml:space="preserve">Notional Income
</t>
  </si>
  <si>
    <t>Total Notional General Income</t>
  </si>
  <si>
    <r>
      <t>NET</t>
    </r>
    <r>
      <rPr>
        <b/>
        <sz val="12"/>
        <rFont val="Arial"/>
        <family val="2"/>
      </rPr>
      <t xml:space="preserve">   Notional General Income</t>
    </r>
  </si>
  <si>
    <t>This worksheet is designed to show how the council proposes to use the additional funding</t>
  </si>
  <si>
    <t>Proposed Additional Special Variation Income and Expenditure</t>
  </si>
  <si>
    <t>PROPOSED ADDITIONAL SPECIAL VARIATION INCOME AND EXPENDITURE</t>
  </si>
  <si>
    <t>INCOME</t>
  </si>
  <si>
    <t>OPERATING EXPENSES</t>
  </si>
  <si>
    <t>CAPITAL EXPENDITURE</t>
  </si>
  <si>
    <t>Worksheet 6 - Proposed Additional SRV Income and Expenditure</t>
  </si>
  <si>
    <t>Enquiries regarding the completion of this application should be directed to:</t>
  </si>
  <si>
    <t>Part A consists of 7 worksheets:</t>
  </si>
  <si>
    <t>Note: IPART can approve a percentage increase to minimum rates above the statutory limit that differs from the</t>
  </si>
  <si>
    <t>Both Part A and Part B of the application should be submitted to IPART (us) via the Council Portal on our</t>
  </si>
  <si>
    <r>
      <t>Worksheet 1 (Identification):</t>
    </r>
    <r>
      <rPr>
        <sz val="12"/>
        <rFont val="Arial"/>
        <family val="2"/>
      </rPr>
      <t xml:space="preserve"> Identifies your council and a council contact officer, collects information</t>
    </r>
  </si>
  <si>
    <t>Step-by-step instructions on completing the worksheets are provided below.</t>
  </si>
  <si>
    <t>If the council does not have any SVs due to expire in the period of the</t>
  </si>
  <si>
    <t>rating structure used in the previous year to land values, adjusted by supplementary valuations</t>
  </si>
  <si>
    <t>of the application, with and without the proposed SV.</t>
  </si>
  <si>
    <t>If you have had a general revaluation of land during the prior year this spreadsheet will not accurately</t>
  </si>
  <si>
    <t>refect the impact on ratepayers in year 1.  We will take this into account when using this worksheet.</t>
  </si>
  <si>
    <t>* Part B of the application provides councils with the opportunity to explain their expenditure plans</t>
  </si>
  <si>
    <t>and the impacts on their financial position.</t>
  </si>
  <si>
    <t>Note: Approved SV% increases do not change if the actual rate peg turns out to be different from that assumed for a particular year.</t>
  </si>
  <si>
    <t>website at www.ipart.nsw.gov.au. A hardcopy should also be forwarded to us (see Guidelines for details).</t>
  </si>
  <si>
    <t>Notional General 
Income</t>
  </si>
  <si>
    <t>Notional General
Income</t>
  </si>
  <si>
    <r>
      <t xml:space="preserve">Total Notional General Income </t>
    </r>
    <r>
      <rPr>
        <sz val="10"/>
        <color indexed="10"/>
        <rFont val="Arial"/>
        <family val="2"/>
      </rPr>
      <t>(WK3)</t>
    </r>
  </si>
  <si>
    <r>
      <t xml:space="preserve">to be recouped in this year </t>
    </r>
    <r>
      <rPr>
        <sz val="10"/>
        <color indexed="10"/>
        <rFont val="Arial"/>
        <family val="2"/>
      </rPr>
      <t>(WK3)</t>
    </r>
  </si>
  <si>
    <r>
      <t>NET</t>
    </r>
    <r>
      <rPr>
        <b/>
        <sz val="12"/>
        <color indexed="10"/>
        <rFont val="Arial"/>
        <family val="2"/>
      </rPr>
      <t xml:space="preserve">   First year Notional General Income</t>
    </r>
  </si>
  <si>
    <t>This worksheet calculates Permissible General Income and the value of the proposed SV after taking into</t>
  </si>
  <si>
    <t>account various adjustments.   Income adjustments and expiring SV amounts are to be verified</t>
  </si>
  <si>
    <t xml:space="preserve">Councils must enter each category of expenditure, and if applicable, individual program/project names, </t>
  </si>
  <si>
    <t>in column C under one of the headings provided.</t>
  </si>
  <si>
    <t>and what it is spent on.  A positive difference means that the additional income is not all spent on opex or capex.</t>
  </si>
  <si>
    <t>before submitting the application.</t>
  </si>
  <si>
    <t>See Attachment 4 of the Guidelines for further details.</t>
  </si>
  <si>
    <t>The annual and cumulative increases in permissible general income will</t>
  </si>
  <si>
    <t xml:space="preserve">Cumulative Increase in PGI </t>
  </si>
  <si>
    <t>Difference between additional SRV income and its uses</t>
  </si>
  <si>
    <t>OPERATING BALANCE</t>
  </si>
  <si>
    <t>Annual $ increase in PGI</t>
  </si>
  <si>
    <t>Annual $ increase in PGI above the rate peg</t>
  </si>
  <si>
    <t>CUMULATIVE TOTALS BY YEAR</t>
  </si>
  <si>
    <t>Income from Continuing Operations</t>
  </si>
  <si>
    <t>Revenue:</t>
  </si>
  <si>
    <t>Rates &amp; Annual Charges</t>
  </si>
  <si>
    <t>User Charges &amp; Fees</t>
  </si>
  <si>
    <t>Interest &amp; Investment Revenue</t>
  </si>
  <si>
    <t>Other Revenues</t>
  </si>
  <si>
    <t>Grants &amp; Contributions Op Purposes</t>
  </si>
  <si>
    <t>Grants &amp; Contributions Capital Purposes</t>
  </si>
  <si>
    <t>Other Income:</t>
  </si>
  <si>
    <t>Net gains from disposal of assets</t>
  </si>
  <si>
    <t>Total Income Continuing Operations</t>
  </si>
  <si>
    <t>Expenses from Continuing Operations</t>
  </si>
  <si>
    <t>Employee Benefits &amp; On-costs</t>
  </si>
  <si>
    <t>Materials &amp; Contracts</t>
  </si>
  <si>
    <t>Depreciation &amp; Amortisation</t>
  </si>
  <si>
    <t>Other Expenses</t>
  </si>
  <si>
    <t>Total expenses continuing operations</t>
  </si>
  <si>
    <t>Operating result from continuing operations</t>
  </si>
  <si>
    <t>Difference between SV scenario and Base Case</t>
  </si>
  <si>
    <t>Increase in rates and annual charges</t>
  </si>
  <si>
    <t>TOTAL AVERAGE</t>
  </si>
  <si>
    <t>WORKSHEET 7</t>
  </si>
  <si>
    <t>LONG TERM FINANCIAL PLAN - SV SCENARIO AND BASE CASE</t>
  </si>
  <si>
    <t>Growth in employee numbers</t>
  </si>
  <si>
    <t>KEY ASSUMPTIONS</t>
  </si>
  <si>
    <t>Year 0</t>
  </si>
  <si>
    <t>Permanent</t>
  </si>
  <si>
    <t>1 year</t>
  </si>
  <si>
    <t>8 years</t>
  </si>
  <si>
    <t>9 years</t>
  </si>
  <si>
    <t>10 years</t>
  </si>
  <si>
    <t>11 years</t>
  </si>
  <si>
    <t>12 years</t>
  </si>
  <si>
    <t>13 years</t>
  </si>
  <si>
    <t>14 years</t>
  </si>
  <si>
    <t>15 years</t>
  </si>
  <si>
    <t>16 years</t>
  </si>
  <si>
    <t>17 years</t>
  </si>
  <si>
    <t>18 years</t>
  </si>
  <si>
    <t>19 years</t>
  </si>
  <si>
    <t>20 years</t>
  </si>
  <si>
    <t>Name of special rate</t>
  </si>
  <si>
    <t>Special rate</t>
  </si>
  <si>
    <t>OPERATING EXPENSES (includes loan interest costs)</t>
  </si>
  <si>
    <t>(please enter assumed % figure for each year)</t>
  </si>
  <si>
    <t>Pemissable General Income (PGI)</t>
  </si>
  <si>
    <t>Total increase</t>
  </si>
  <si>
    <t>Total % increase</t>
  </si>
  <si>
    <t>Increase in Permissable General Income (PGI) &amp; Notional General Income (NGI)</t>
  </si>
  <si>
    <t>Annual total</t>
  </si>
  <si>
    <t>Annual TOTAL</t>
  </si>
  <si>
    <t>WITHOUT SPECIAL VARIATION</t>
  </si>
  <si>
    <t>TOTAL INCOME FROM RESIDENTIAL</t>
  </si>
  <si>
    <t>Total Business</t>
  </si>
  <si>
    <t>Total Residential</t>
  </si>
  <si>
    <t>Total Farmland</t>
  </si>
  <si>
    <t>Total Mining</t>
  </si>
  <si>
    <t>Increase in rates and annual charges as a percentage</t>
  </si>
  <si>
    <t>Step 1: Fill out council details</t>
  </si>
  <si>
    <t>Step 2: Fill out any expiring variation information</t>
  </si>
  <si>
    <t>Step 3: Fill out crown land adjustments, catch up &amp; excess, valuation objections</t>
  </si>
  <si>
    <t>Crown land adjustments, catch ups, valuation objections</t>
  </si>
  <si>
    <t xml:space="preserve">This worksheet is for IPART Analyst use only. </t>
  </si>
  <si>
    <t>1. Is the council applying for a one-year increase (s508(2)) or a multi-year increase (s508A)?</t>
  </si>
  <si>
    <t>s508(2)</t>
  </si>
  <si>
    <t>s508A</t>
  </si>
  <si>
    <r>
      <t>2. For</t>
    </r>
    <r>
      <rPr>
        <b/>
        <sz val="12"/>
        <rFont val="Arial"/>
        <family val="2"/>
      </rPr>
      <t xml:space="preserve"> s508A</t>
    </r>
    <r>
      <rPr>
        <sz val="12"/>
        <rFont val="Arial"/>
        <family val="2"/>
      </rPr>
      <t xml:space="preserve"> applications: for how many years is the council requesting % increases as part of this application?</t>
    </r>
  </si>
  <si>
    <t>8. Enter the amount of any crown land adjustments required</t>
  </si>
  <si>
    <t>9. Enter the amount for any catch ups or excess adjustments required</t>
  </si>
  <si>
    <t>Fund existing service levels (i.e. libraries)</t>
  </si>
  <si>
    <t>Fund new/enhanced service levels (i.e. sustainability program)</t>
  </si>
  <si>
    <t>% value of expiring special variation</t>
  </si>
  <si>
    <t>Ad Valorem Rate (cents)</t>
  </si>
  <si>
    <t>TOTAL INCOME FROM BUSINESS</t>
  </si>
  <si>
    <t>TOTAL INCOME FROM FARMLAND</t>
  </si>
  <si>
    <t>TOTAL INCOME FROM MINING</t>
  </si>
  <si>
    <t>Growth in labour costs</t>
  </si>
  <si>
    <t>Planned operating cost savings</t>
  </si>
  <si>
    <t>Before completing this form, you MUST read the Office of Local Government's</t>
  </si>
  <si>
    <t>You must identify the percentage increase requested for each year inclusive of the rate peg</t>
  </si>
  <si>
    <t>each year, up to a maximum of 7 years.</t>
  </si>
  <si>
    <r>
      <t>Worksheet 7 (Long Term Financial Plan):</t>
    </r>
    <r>
      <rPr>
        <sz val="12"/>
        <rFont val="Arial"/>
        <family val="2"/>
      </rPr>
      <t xml:space="preserve"> Collects information on your Long Term Financial Plan</t>
    </r>
  </si>
  <si>
    <t>including scenarios with and without the proposed special variation</t>
  </si>
  <si>
    <t>Worksheet 7 - Long Term Financial Plan</t>
  </si>
  <si>
    <t>This worksheet is designed to show how the council's Long Term Financial Plan varies</t>
  </si>
  <si>
    <t>with and without the proposed special variation</t>
  </si>
  <si>
    <t>Councils must enter each category of income and expenditure under the headings provided</t>
  </si>
  <si>
    <t>and what it is spent on.</t>
  </si>
  <si>
    <t>This worksheet automatically calculates total amounts for each column</t>
  </si>
  <si>
    <t>Net loss from disposal of assets</t>
  </si>
  <si>
    <t>Change over 10 years ($)</t>
  </si>
  <si>
    <t>Change over 10 years (%)</t>
  </si>
  <si>
    <t>Expiring %</t>
  </si>
  <si>
    <r>
      <t>under Section 508A and 508(2) of the</t>
    </r>
    <r>
      <rPr>
        <i/>
        <sz val="14"/>
        <rFont val="Arial"/>
        <family val="2"/>
      </rPr>
      <t xml:space="preserve"> Local Government Act 1993</t>
    </r>
  </si>
  <si>
    <t>The Guidelines are available on the Office’s website at www.olg.nsw.gov.au.</t>
  </si>
  <si>
    <t>A Section 508A special variation allows a council to increase general income by a percentage that is greater than the rate peg</t>
  </si>
  <si>
    <t>You must also identify percentage increases in minimum rates for each year, if the increases result in a minimum rate</t>
  </si>
  <si>
    <t>which exceeds the statutory limit.</t>
  </si>
  <si>
    <t>SV. It also collects information on valuation objections, crown land adjustments and catch up/excess.</t>
  </si>
  <si>
    <r>
      <t>Worksheet 2 (current year Notional General Income):</t>
    </r>
    <r>
      <rPr>
        <sz val="12"/>
        <rFont val="Arial"/>
        <family val="2"/>
      </rPr>
      <t xml:space="preserve"> Calculates the council's Notional General Income</t>
    </r>
  </si>
  <si>
    <r>
      <t>Worksheet 3 (first year Notional General Income):</t>
    </r>
    <r>
      <rPr>
        <sz val="12"/>
        <rFont val="Arial"/>
        <family val="2"/>
      </rPr>
      <t xml:space="preserve"> Calculates the council's proposed Notional General </t>
    </r>
  </si>
  <si>
    <r>
      <t>Worksheet 5a (Impact on Rates 1):</t>
    </r>
    <r>
      <rPr>
        <sz val="12"/>
        <rFont val="Arial"/>
        <family val="2"/>
      </rPr>
      <t xml:space="preserve"> Calculates the average annual and cumulative increases in rates</t>
    </r>
  </si>
  <si>
    <t>Please check all income adjustments and expiring variation amounts with OLG</t>
  </si>
  <si>
    <t>Expiring SV</t>
  </si>
  <si>
    <t xml:space="preserve">Notional General Income must be reduced before </t>
  </si>
  <si>
    <t>Additional percentage increase</t>
  </si>
  <si>
    <t>This is the additional percentage increase being sought</t>
  </si>
  <si>
    <t>above the rate peg, excluding any other income</t>
  </si>
  <si>
    <t>adjustments.</t>
  </si>
  <si>
    <t>Crown Land Adjustment</t>
  </si>
  <si>
    <t xml:space="preserve">Crown land claims will increase Permissable General </t>
  </si>
  <si>
    <t>Income. The $ amount of any Crown land adjustment is</t>
  </si>
  <si>
    <t>converted into a % amount to be included in the final</t>
  </si>
  <si>
    <t>special variation for consideration by IPART. Note that</t>
  </si>
  <si>
    <t>applications for Crown land adjustments still need to be</t>
  </si>
  <si>
    <t>Other adjustments</t>
  </si>
  <si>
    <t>1. Prior year result. This is the catch up or excess amount</t>
  </si>
  <si>
    <t>from the previous year, as advised by OLG.</t>
  </si>
  <si>
    <t>2. Valuation objections: if you successfully claimed valuation</t>
  </si>
  <si>
    <t>objections in the previous year, PGI must be reduced to</t>
  </si>
  <si>
    <t>remove the extra income claimed from the revenue base.</t>
  </si>
  <si>
    <t>Select council name from the drop down list (E11) and enter contact details (E14-17).</t>
  </si>
  <si>
    <t>Enter the additional percentage being sought above the rate peg (excluding other adjustments) (L24).</t>
  </si>
  <si>
    <t>requested SV and the answer is "No" in L27, leave other fields in this section blank.</t>
  </si>
  <si>
    <t>Answer the questions about Crown land adjustments, catch ups and valuation objections (L33 to L35).</t>
  </si>
  <si>
    <t>If the council does not have any adjustments, leave the fields in this section blank</t>
  </si>
  <si>
    <t>Select the requested number of years of income increases in the application (L22).</t>
  </si>
  <si>
    <t>If the rate peg turns out to be different from that assumed, the total % increase in general</t>
  </si>
  <si>
    <t>income with an approved SV does not change.</t>
  </si>
  <si>
    <t xml:space="preserve">The percentage increase in general income needed in year 1 of the application (D45) will </t>
  </si>
  <si>
    <t>will only populate automatically in WK1 after WK2 is completed.</t>
  </si>
  <si>
    <t>populate once WK2 and WK3 have been completed.</t>
  </si>
  <si>
    <t>This worksheet is designed to show</t>
  </si>
  <si>
    <t>increases in average rates for each of the main rating categories</t>
  </si>
  <si>
    <t>The worksheet automatically calculates additional SRV income for Years 1 to 10.</t>
  </si>
  <si>
    <t xml:space="preserve">7.  If the council has an expiring variation, enter the % of the original approval in full (i.e. including rate peg) </t>
  </si>
  <si>
    <t>4. Enter the percentage above the rate peg the council is applying for in the first year</t>
  </si>
  <si>
    <t>Expiry of a prior special variation</t>
  </si>
  <si>
    <r>
      <t>3. For</t>
    </r>
    <r>
      <rPr>
        <b/>
        <sz val="12"/>
        <rFont val="Arial"/>
        <family val="2"/>
      </rPr>
      <t xml:space="preserve"> s508A</t>
    </r>
    <r>
      <rPr>
        <sz val="12"/>
        <rFont val="Arial"/>
        <family val="2"/>
      </rPr>
      <t xml:space="preserve"> &amp; </t>
    </r>
    <r>
      <rPr>
        <b/>
        <sz val="12"/>
        <rFont val="Arial"/>
        <family val="2"/>
      </rPr>
      <t>s508(2)</t>
    </r>
    <r>
      <rPr>
        <sz val="12"/>
        <rFont val="Arial"/>
        <family val="2"/>
      </rPr>
      <t xml:space="preserve"> applications: is the special variation permanent or temporary? If temporary, enter the number of years.</t>
    </r>
  </si>
  <si>
    <t>Temporary</t>
  </si>
  <si>
    <r>
      <t xml:space="preserve">catch ups/excesses and valuation objections. </t>
    </r>
    <r>
      <rPr>
        <i/>
        <sz val="12"/>
        <rFont val="Arial"/>
        <family val="2"/>
      </rPr>
      <t xml:space="preserve"> </t>
    </r>
  </si>
  <si>
    <t xml:space="preserve">Section 508(2) allows a council to increase general income by a percentage that is greater than the rate peg in a single year. </t>
  </si>
  <si>
    <t>Growth in assessment numbers</t>
  </si>
  <si>
    <t>Income excluding capital grants and contributions</t>
  </si>
  <si>
    <t>Net operating result before capital grants and contributions</t>
  </si>
  <si>
    <t>Borrowing Costs (i.e. interest costs)</t>
  </si>
  <si>
    <t>SV scenario</t>
  </si>
  <si>
    <t>Base case</t>
  </si>
  <si>
    <t>Increase in rates and annual charges above base case</t>
  </si>
  <si>
    <t>Inflation rate applied to Materials &amp; Contracts</t>
  </si>
  <si>
    <t>Full SV %</t>
  </si>
  <si>
    <t>5. Does the council have an expiring variation? If yes, please specify when.</t>
  </si>
  <si>
    <t xml:space="preserve">     as well as the % which is due to expire (i.e. excluding the rate peg)</t>
  </si>
  <si>
    <t>1st Expiring SV</t>
  </si>
  <si>
    <t>2nd Expiring SV</t>
  </si>
  <si>
    <t xml:space="preserve">            APPLICATION FOR SPECIAL VARIATION TO GENERAL INCOME</t>
  </si>
  <si>
    <t>PERMISSIBLE GENERAL INCOME SUMMARY</t>
  </si>
  <si>
    <r>
      <t>Worksheet 5b (Impact on Rates 2):</t>
    </r>
    <r>
      <rPr>
        <sz val="12"/>
        <rFont val="Arial"/>
        <family val="2"/>
      </rPr>
      <t xml:space="preserve"> Collects the assessment numbers in the residential, business and farmland</t>
    </r>
  </si>
  <si>
    <t>automatically populate when the cells above are completed.</t>
  </si>
  <si>
    <t>This worksheet calculates the Notional General Income for the current year (Year 0), by applying the</t>
  </si>
  <si>
    <t>Any inclusion in WK2 as a “supplementary valuation” must agree with section 4 of the Valuation of Land Act 1916.</t>
  </si>
  <si>
    <t>This worksheet calculates the proposed Notional General Income (Year 1). It should apply the proposed rating structure,</t>
  </si>
  <si>
    <t>including the proposed SV increase, to land values adjusted by any supplementary valuations.</t>
  </si>
  <si>
    <t>The rating structure entered here must be checked by OLG.</t>
  </si>
  <si>
    <t>by OLG before the application is submitted to us.</t>
  </si>
  <si>
    <t>separately made to OLG.</t>
  </si>
  <si>
    <t>There are two other possible adjustments that are not included</t>
  </si>
  <si>
    <t>minimum rate increases per category/sub-category with the proposed SV</t>
  </si>
  <si>
    <t>Minimum rates</t>
  </si>
  <si>
    <t>Enter in the minimum rates per category/sub-category as if the SV were approved for each year as requested</t>
  </si>
  <si>
    <t>Enter the number of assessments in the ordinary rating categories (residential, business and farmland)</t>
  </si>
  <si>
    <t>This worksheet shows the distribution of ordinary rates across different land values and how</t>
  </si>
  <si>
    <t>ratepayers will be affected by the proposed SV, depending on the value of their land.</t>
  </si>
  <si>
    <t xml:space="preserve">Councils must complete the information from the Long Term Financial Plan for both the Special Variation Scenario </t>
  </si>
  <si>
    <t>any amounts entered need to be verified by the OLG before the application is submitted to us.</t>
  </si>
  <si>
    <r>
      <t>This worksheet must contain the rating structure proposed
 for the first year of the special variation application.</t>
    </r>
    <r>
      <rPr>
        <b/>
        <sz val="14"/>
        <rFont val="Arial"/>
        <family val="2"/>
      </rPr>
      <t xml:space="preserve">
</t>
    </r>
    <r>
      <rPr>
        <b/>
        <sz val="8"/>
        <rFont val="Arial"/>
        <family val="2"/>
      </rPr>
      <t xml:space="preserve">
</t>
    </r>
    <r>
      <rPr>
        <b/>
        <sz val="12"/>
        <color indexed="18"/>
        <rFont val="Arial"/>
        <family val="2"/>
      </rPr>
      <t>Note: A rating structure that does not comply with the legislation may not be approved.  It is Council's responsibility to check its rating structure with OLG before submission to IPART.</t>
    </r>
  </si>
  <si>
    <t>IMPACT ON RATES BY LAND VALUE</t>
  </si>
  <si>
    <t xml:space="preserve">         and farmland categories - as applicable.</t>
  </si>
  <si>
    <t xml:space="preserve">         1. Enter the number of property assessments within each of the specified land value ranges.</t>
  </si>
  <si>
    <t xml:space="preserve">         2. Include the estimated rate levels for the specified land values (eg $50,000) over the period of the proposed special variation</t>
  </si>
  <si>
    <r>
      <t xml:space="preserve">         Rate estimates should reflect expected </t>
    </r>
    <r>
      <rPr>
        <b/>
        <i/>
        <sz val="12"/>
        <color indexed="18"/>
        <rFont val="Arial"/>
        <family val="2"/>
      </rPr>
      <t xml:space="preserve">actual </t>
    </r>
    <r>
      <rPr>
        <b/>
        <sz val="12"/>
        <color indexed="18"/>
        <rFont val="Arial"/>
        <family val="2"/>
      </rPr>
      <t xml:space="preserve">rates, inclusive of any expiring variations. </t>
    </r>
  </si>
  <si>
    <t xml:space="preserve">         Figures should not include special rates.</t>
  </si>
  <si>
    <t>Number of property assessments in this valuation range as per Worksheet 3</t>
  </si>
  <si>
    <t>10. Enter any valuation objections required (input as a positive whole number)</t>
  </si>
  <si>
    <t>These figures should include the impact of changes in minimum rates and are calculated as per below.</t>
  </si>
  <si>
    <t xml:space="preserve">    of assessments in that same category or sub-category (i.e. including assessments on the minimum rate). </t>
  </si>
  <si>
    <t>1. An average rate equals total income in a category or sub-category divided by the number</t>
  </si>
  <si>
    <t>2. These figures should reflect the reduction from any expiring SVs so that the net change in rates is measured.</t>
  </si>
  <si>
    <t>Current Minimum Rate</t>
  </si>
  <si>
    <t>Minimum
Rate
Year 1</t>
  </si>
  <si>
    <t>Minimum
Rate
Year 2</t>
  </si>
  <si>
    <t>Minimum
Rate
Year 3</t>
  </si>
  <si>
    <t>Minimum
Rate
Year 4</t>
  </si>
  <si>
    <t>Minimum
Rate
Year 5</t>
  </si>
  <si>
    <t>Minimum
Rate
Year 6</t>
  </si>
  <si>
    <t>Minimum
Rate
Year 7</t>
  </si>
  <si>
    <t>Annual and Cumulative Increases</t>
  </si>
  <si>
    <t xml:space="preserve">  A separate minimum rates application is not necessary if the council is applying for a special variation </t>
  </si>
  <si>
    <t xml:space="preserve">  If the council levies minimum rates for any category or sub-category, these rates should be detailed below. </t>
  </si>
  <si>
    <t xml:space="preserve">  that will have the effect of causing a minimum rate to exceed the statutory limit.</t>
  </si>
  <si>
    <t>Current Average Rate</t>
  </si>
  <si>
    <t>Average
Rate
Year 1</t>
  </si>
  <si>
    <t>Average
Rate
Year 2</t>
  </si>
  <si>
    <t>Average
Rate
Year 3</t>
  </si>
  <si>
    <t>Average
Rate
Year 4</t>
  </si>
  <si>
    <t>Average
Rate
Year 5</t>
  </si>
  <si>
    <t>Average
Rate
Year 6</t>
  </si>
  <si>
    <t>Average
Rate
Year 7</t>
  </si>
  <si>
    <t>Current Average Charge</t>
  </si>
  <si>
    <t>Rate     Year 1</t>
  </si>
  <si>
    <t>Rate     Year 2</t>
  </si>
  <si>
    <t>Rate     Year 3</t>
  </si>
  <si>
    <t>Rate     Year 4</t>
  </si>
  <si>
    <t>Rate     Year 5</t>
  </si>
  <si>
    <t>Rate     Year 6</t>
  </si>
  <si>
    <t>Rate     Year 7</t>
  </si>
  <si>
    <t>)</t>
  </si>
  <si>
    <t>(</t>
  </si>
  <si>
    <t>Prior year Catchup/(Excess)</t>
  </si>
  <si>
    <t>6. If the council has an expiring variation, enter the $ amount expiring in cells J44 to J51 below</t>
  </si>
  <si>
    <t xml:space="preserve"> received during that year.  </t>
  </si>
  <si>
    <t>Answer the questions about expiring SVs (L27, L29 and L30, as well as M27, M29 and M30, if relevant).</t>
  </si>
  <si>
    <t>Enter the requested percentage increases in general income (including the rate peg) from year 2 (D46 to D51).</t>
  </si>
  <si>
    <t>Expiring special variation (ESV)</t>
  </si>
  <si>
    <t>Cumulative rise in PGI if expiring SV is renewed and Rate Peg applied</t>
  </si>
  <si>
    <t>Number of
Assessments</t>
  </si>
  <si>
    <t>2016-17</t>
  </si>
  <si>
    <t>2017-18</t>
  </si>
  <si>
    <t>2018-19</t>
  </si>
  <si>
    <t>2019-20</t>
  </si>
  <si>
    <t>2020-21</t>
  </si>
  <si>
    <t>2021-22</t>
  </si>
  <si>
    <t>2022-23</t>
  </si>
  <si>
    <t>2023-24</t>
  </si>
  <si>
    <t>2024-25</t>
  </si>
  <si>
    <t>2025-26</t>
  </si>
  <si>
    <t>2016-2017</t>
  </si>
  <si>
    <t>2013-2014</t>
  </si>
  <si>
    <t>2013-14</t>
  </si>
  <si>
    <t>2014-15</t>
  </si>
  <si>
    <t>2012-13</t>
  </si>
  <si>
    <t>2014-2015</t>
  </si>
  <si>
    <t>2015-16</t>
  </si>
  <si>
    <t>2015-2016</t>
  </si>
  <si>
    <t>2017-2018</t>
  </si>
  <si>
    <t>2018-2019</t>
  </si>
  <si>
    <t>2019-2020</t>
  </si>
  <si>
    <t>2020-2021</t>
  </si>
  <si>
    <t>2021-2022</t>
  </si>
  <si>
    <t>2022-2023</t>
  </si>
  <si>
    <t>2023-2024</t>
  </si>
  <si>
    <t>2024-2025</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</si>
  <si>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</si>
  <si>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</si>
  <si>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</si>
  <si>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</si>
  <si>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</si>
  <si>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</si>
  <si>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</si>
  <si>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</si>
  <si>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</si>
  <si>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</si>
  <si>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</si>
  <si>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</si>
  <si>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</si>
  <si>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</si>
  <si>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</si>
  <si>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</si>
  <si>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</si>
  <si>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</si>
  <si>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</si>
  <si>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</si>
  <si>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</si>
  <si>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</si>
  <si>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</si>
  <si>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</si>
  <si>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</si>
  <si>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</si>
  <si>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</si>
  <si>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</si>
  <si>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</si>
  <si>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</si>
  <si>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A special variation is the total % increase permitted in a council's general income, Including the rate peg, before adjustments are made for</t>
  </si>
  <si>
    <t>Expiring Special Variation (ESV)</t>
  </si>
  <si>
    <t>about any special variations (SVs) due to expire and summarises the cumulative impact of the proposed</t>
  </si>
  <si>
    <t xml:space="preserve">additional funds (above the rate peg) from the proposed SV. </t>
  </si>
  <si>
    <t>Indicate whether the proposed SV is permanent or expiring (L23) and if expiring, enter the number of years (M23)</t>
  </si>
  <si>
    <t>Step 4: Fill out proposed special variation amounts</t>
  </si>
  <si>
    <t>This sheet shows how the council's Long Term Financial Plan reflects the impact of the proposed special variation versus its base case (no special variation).                                                                         
Enter the figures from the most recent Long Term Financial Plan over 10 years under each of the headings as relevant. 
Add or delete rows if necessary.
Below the tables, please enter the key assumptions relating to the Long Term Financial Plan. Please ensure that these figures match the latest version of the Long Term Financial Plan provided with the application and that these figures are for the GENERAL FUND ONLY.</t>
  </si>
  <si>
    <t>Proposed special variations (SVs)</t>
  </si>
  <si>
    <t>Ordinary and Special Rates - with proposed special variation</t>
  </si>
  <si>
    <t>Average Ordinary and Special Rates - without proposed special variation (assumed rate peg only)</t>
  </si>
  <si>
    <t>Ordinary and Special Rates - without proposed special variation</t>
  </si>
  <si>
    <t xml:space="preserve">         The aim of this sheet is to show the impact of the proposed special variation on Ordinary Rates by land value for the residential, business</t>
  </si>
  <si>
    <t>Total use of proposed special variation income</t>
  </si>
  <si>
    <t>Select the type of proposed special variation (L21).</t>
  </si>
  <si>
    <t>average rate increases per category/sub-category (for ordinary and special rates) with and                                                                                              without the proposed SV</t>
  </si>
  <si>
    <t xml:space="preserve">The spreadsheet will calculate the difference between the additional income from the proposed special variation </t>
  </si>
  <si>
    <t>and the Base Case Scenario (without proposed special variation).</t>
  </si>
  <si>
    <t>proposed special variation percentage increase as long as you have justified and properly consulted on that percentage.</t>
  </si>
  <si>
    <t>The cumulative increase in general income due to the proposed SV inclusive of the rate peg</t>
  </si>
  <si>
    <t>Proposed SV (inc. rate peg)</t>
  </si>
  <si>
    <t>Notional General Income after SV % applied</t>
  </si>
  <si>
    <t>Cumulative PGI under the proposed SV</t>
  </si>
  <si>
    <t>Total % rise in PGI under the proposed SV that exceeds the rise in the PGI under renewed ESV and rate peg</t>
  </si>
  <si>
    <t>Change in Operating Balance due to proposed SV</t>
  </si>
  <si>
    <t>OTHER USES OF PROPOSED SV INCOME eg loan principal repayments, transfers to reserves</t>
  </si>
  <si>
    <t>in the proposed SV % but will affect Permissable General Income:</t>
  </si>
  <si>
    <t>increases in annual charges over the period of the proposed SV</t>
  </si>
  <si>
    <t>Enter in the average rates per sub-category as if the proposed SV were approved for each year as requested</t>
  </si>
  <si>
    <t>AND the average rates as if the proposed SV were not approved (only the rate peg would then apply)</t>
  </si>
  <si>
    <t xml:space="preserve">above the rate peg generated from the proposed SV.  </t>
  </si>
  <si>
    <t>for the proposed SV and Crown land adjustments, plus other income adjustments.</t>
  </si>
  <si>
    <r>
      <t>Worksheet 4 (PGI):</t>
    </r>
    <r>
      <rPr>
        <sz val="12"/>
        <rFont val="Arial"/>
        <family val="2"/>
      </rPr>
      <t xml:space="preserve"> Summarises the council's Permissible General Income based on the 1st year's percentage for </t>
    </r>
  </si>
  <si>
    <t>for each category/sub-category for each year of the proposed SV, with and without the proposed SV.</t>
  </si>
  <si>
    <t>ordinary rate categories for different land values in year 1 and the rates across this</t>
  </si>
  <si>
    <t>distribution (ie, midpoints of each land value range) for each year of the proposed SV.</t>
  </si>
  <si>
    <r>
      <t>Worksheet 6 (Additional SV Income and Expenditure):</t>
    </r>
    <r>
      <rPr>
        <sz val="12"/>
        <rFont val="Arial"/>
        <family val="2"/>
      </rPr>
      <t xml:space="preserve"> Collects data on how the council intends to use the</t>
    </r>
  </si>
  <si>
    <t>This sheet shows how the council proposes to use the additional income from the special variation.                                                                         
Enter the proposed spending over 10 years under each of the headings as relevant. 
For additional SRV income in years beyond the period of the proposed special variation, we increase the income in the final year 
 of the variation by the assumed rate peg of 2.5% in each of the future years. i.e. multiply by 1.025 each year.</t>
  </si>
  <si>
    <t>Proposed SV income above rate peg</t>
  </si>
  <si>
    <t/>
  </si>
  <si>
    <t xml:space="preserve">For Temporary SVs - Ipart analysts will delete columns not required eg for a 5 year SV there will no SV income from year 6 onwards </t>
  </si>
  <si>
    <t>Is proposed SV temporary?</t>
  </si>
  <si>
    <t>Years in which Temporary SV in place?</t>
  </si>
  <si>
    <t>Check RE: data in table below</t>
  </si>
  <si>
    <t xml:space="preserve">                                                                        All dollars in nominal terms </t>
  </si>
  <si>
    <t xml:space="preserve">                                                                                                          All dollars in nominal terms </t>
  </si>
  <si>
    <t xml:space="preserve">                                                                         All dollars in nominal terms </t>
  </si>
  <si>
    <t xml:space="preserve">                                                           All dollars in nominal terms </t>
  </si>
  <si>
    <t xml:space="preserve">           All dollars in nominal terms</t>
  </si>
  <si>
    <t xml:space="preserve">  All dollars in nominal terms</t>
  </si>
  <si>
    <t xml:space="preserve">      All dollars in nominal terms</t>
  </si>
  <si>
    <t>These figures are intended to illustrate the impact of the proposed SV on any specific minimum rate.</t>
  </si>
  <si>
    <t>MidCoast Council</t>
  </si>
  <si>
    <t>What is the SV year?</t>
  </si>
  <si>
    <t>What is the rate peg?</t>
  </si>
  <si>
    <t>Rate peg</t>
  </si>
  <si>
    <t>The worksheet automatically assumes a rate peg of 2.5% for each of the forward years (Year 2 and thereafter).</t>
  </si>
  <si>
    <t>Who is the Analyst in charge?</t>
  </si>
  <si>
    <t>Email</t>
  </si>
  <si>
    <t>Phone</t>
  </si>
  <si>
    <t>Who is the TSO supporting the Analyst?</t>
  </si>
  <si>
    <t>anthony_rush@ipart.nsw.gov.au</t>
  </si>
  <si>
    <t>(02) 9113 7790</t>
  </si>
  <si>
    <t>First Name</t>
  </si>
  <si>
    <t>Last Name</t>
  </si>
  <si>
    <t>Anthony</t>
  </si>
  <si>
    <t>Rush</t>
  </si>
  <si>
    <t>Fill in the yellow shaded boxes</t>
  </si>
  <si>
    <t>1. Inputs</t>
  </si>
  <si>
    <t>Check the green shaded boxes</t>
  </si>
  <si>
    <t>Bayside Council</t>
  </si>
  <si>
    <t>Canterbury-Bankstown Council</t>
  </si>
  <si>
    <t>Central Coast Council</t>
  </si>
  <si>
    <t>City of Canada Bay Council</t>
  </si>
  <si>
    <t>City of Parramatta Council</t>
  </si>
  <si>
    <t>City of Ryde Council</t>
  </si>
  <si>
    <t>City of Sydney Council</t>
  </si>
  <si>
    <t>Cootamundra-Gundagai Council</t>
  </si>
  <si>
    <t>Cumberland Council</t>
  </si>
  <si>
    <t>Dubbo Regional Council</t>
  </si>
  <si>
    <t>Edward River Council</t>
  </si>
  <si>
    <t>Federation Council</t>
  </si>
  <si>
    <t>Georges River Council</t>
  </si>
  <si>
    <t>Hilltops Council</t>
  </si>
  <si>
    <t>Inner West Council</t>
  </si>
  <si>
    <t>Murray River Council</t>
  </si>
  <si>
    <t>Northern Beaches Council</t>
  </si>
  <si>
    <t>Queanbeyan-Palerang Regional Council</t>
  </si>
  <si>
    <t>Snowy Monaro Regional Council</t>
  </si>
  <si>
    <t>Snowy Valleys Council</t>
  </si>
  <si>
    <t>End of Year:</t>
  </si>
  <si>
    <t>SCENARIO 1: Proposed Additional Special Variation Income and Expenditure</t>
  </si>
  <si>
    <t>SCENARIO 2: Base case (no SV) Income and Expenditure</t>
  </si>
  <si>
    <t>SCENARIO 3: Base case (no SV) Income and SV Expenditure</t>
  </si>
  <si>
    <t>Arsh</t>
  </si>
  <si>
    <t>Suri</t>
  </si>
  <si>
    <t>(02) 9113 7730</t>
  </si>
  <si>
    <t>arsh_suri@ipart.nsw.gov.au</t>
  </si>
  <si>
    <t>Rino Santin</t>
  </si>
  <si>
    <t>Yes - 30 Jun 2018 expiry</t>
  </si>
  <si>
    <t>Urban/Village</t>
  </si>
  <si>
    <t>Rural</t>
  </si>
  <si>
    <t>Inner CBD</t>
  </si>
  <si>
    <t>Urban</t>
  </si>
  <si>
    <t>Other</t>
  </si>
  <si>
    <t>Nimbin</t>
  </si>
  <si>
    <t>Intergrated Waste Collection</t>
  </si>
  <si>
    <t>20m Service</t>
  </si>
  <si>
    <t>Lismore Sewer Connected</t>
  </si>
  <si>
    <t>Manager Finance &amp; Governance</t>
  </si>
  <si>
    <t>Marketing*</t>
  </si>
  <si>
    <t>Events &amp; Placemaking*</t>
  </si>
  <si>
    <t>Business Support*</t>
  </si>
  <si>
    <t>Contingency*</t>
  </si>
  <si>
    <t>*Please refer to Attachment 15 for the</t>
  </si>
  <si>
    <t xml:space="preserve">full description of the Program Budget </t>
  </si>
  <si>
    <t>2018 to 2023 showing the complete</t>
  </si>
  <si>
    <t>program components.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</si>
</sst>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quot;$&quot;#,##0"/>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
    <numFmt numFmtId="168" formatCode="0.0"/>
    <numFmt numFmtId="169" formatCode="_(* #,##0.00_);_(* \(#,##0.00\);_(* &quot;-&quot;_);_(@_)"/>
    <numFmt numFmtId="170" formatCode="_(* #,##0_);_(* \(#,##0\);_(* &quot;-&quot;??_);_(@_)"/>
    <numFmt numFmtId="171" formatCode="d\ mmmm\ yyyy"/>
    <numFmt numFmtId="172" formatCode="_(* #,##0_);_(* \(#,##0\);_(* &quot;&quot;??_);_(@_)"/>
    <numFmt numFmtId="173" formatCode="_-* #,##0_-;\-* #,##0_-;_-* &quot;-&quot;??_-;_-@_-"/>
    <numFmt numFmtId="174" formatCode="#,##0.0"/>
    <numFmt numFmtId="175" formatCode="_-* #,##0_-;\-* #,##0_-;_-* &quot;&quot;??_-;_-@_-"/>
    <numFmt numFmtId="176" formatCode="_-* #,##0.0_-;\-* #,##0.0_-;_-* &quot;&quot;??_-;_-@_-"/>
    <numFmt numFmtId="177" formatCode="#,##0;;&quot;&quot;"/>
    <numFmt numFmtId="178" formatCode="&quot;$&quot;#,##0"/>
  </numFmts>
  <fonts count="114" x14ac:knownFonts="1">
    <font>
      <sz val="9"/>
      <name val="Arial"/>
      <family val="2"/>
    </font>
    <font>
      <sz val="9"/>
      <name val="Arial"/>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0"/>
      <name val="Arial"/>
      <family val="2"/>
    </font>
    <font>
      <b/>
      <sz val="10"/>
      <color indexed="57"/>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16"/>
      <name val="Arial"/>
      <family val="2"/>
    </font>
    <font>
      <u/>
      <sz val="9"/>
      <color indexed="12"/>
      <name val="Arial"/>
      <family val="2"/>
    </font>
    <font>
      <sz val="8"/>
      <name val="Arial"/>
      <family val="2"/>
    </font>
    <font>
      <b/>
      <sz val="20"/>
      <name val="Arial"/>
      <family val="2"/>
    </font>
    <font>
      <b/>
      <u/>
      <sz val="20"/>
      <name val="Arial"/>
      <family val="2"/>
    </font>
    <font>
      <i/>
      <sz val="10"/>
      <color indexed="50"/>
      <name val="Arial"/>
      <family val="2"/>
    </font>
    <font>
      <sz val="14"/>
      <name val="Arial"/>
      <family val="2"/>
    </font>
    <font>
      <sz val="12"/>
      <color indexed="12"/>
      <name val="Arial"/>
      <family val="2"/>
    </font>
    <font>
      <sz val="12"/>
      <name val="Arial"/>
      <family val="2"/>
    </font>
    <font>
      <b/>
      <u/>
      <sz val="12"/>
      <color indexed="10"/>
      <name val="Arial"/>
      <family val="2"/>
    </font>
    <font>
      <b/>
      <u/>
      <sz val="12"/>
      <name val="Arial"/>
      <family val="2"/>
    </font>
    <font>
      <b/>
      <sz val="26"/>
      <name val="Arial"/>
      <family val="2"/>
    </font>
    <font>
      <b/>
      <sz val="12"/>
      <color indexed="39"/>
      <name val="Arial"/>
      <family val="2"/>
    </font>
    <font>
      <b/>
      <sz val="10"/>
      <name val="Arial"/>
      <family val="2"/>
    </font>
    <font>
      <b/>
      <u/>
      <sz val="10"/>
      <name val="Arial"/>
      <family val="2"/>
    </font>
    <font>
      <b/>
      <sz val="11"/>
      <color indexed="39"/>
      <name val="Arial"/>
      <family val="2"/>
    </font>
    <font>
      <sz val="11"/>
      <color indexed="39"/>
      <name val="Arial"/>
      <family val="2"/>
    </font>
    <font>
      <b/>
      <sz val="11"/>
      <name val="Arial"/>
      <family val="2"/>
    </font>
    <font>
      <b/>
      <u/>
      <sz val="18"/>
      <name val="Arial"/>
      <family val="2"/>
    </font>
    <font>
      <b/>
      <sz val="8"/>
      <name val="Arial"/>
      <family val="2"/>
    </font>
    <font>
      <b/>
      <sz val="12"/>
      <name val="Arial"/>
      <family val="2"/>
    </font>
    <font>
      <b/>
      <sz val="12"/>
      <color indexed="12"/>
      <name val="Arial"/>
      <family val="2"/>
    </font>
    <font>
      <b/>
      <sz val="12"/>
      <color indexed="39"/>
      <name val="Arial"/>
      <family val="2"/>
    </font>
    <font>
      <b/>
      <u/>
      <sz val="20"/>
      <name val="Arial"/>
      <family val="2"/>
    </font>
    <font>
      <b/>
      <sz val="18"/>
      <name val="Arial"/>
      <family val="2"/>
    </font>
    <font>
      <b/>
      <sz val="24"/>
      <name val="Arial"/>
      <family val="2"/>
    </font>
    <font>
      <b/>
      <sz val="12"/>
      <color indexed="18"/>
      <name val="Arial"/>
      <family val="2"/>
    </font>
    <font>
      <b/>
      <sz val="18"/>
      <name val="Arial"/>
      <family val="2"/>
    </font>
    <font>
      <sz val="72"/>
      <name val="Wingdings"/>
      <charset val="2"/>
    </font>
    <font>
      <sz val="12"/>
      <name val="Arial"/>
      <family val="2"/>
    </font>
    <font>
      <i/>
      <sz val="12"/>
      <name val="Arial"/>
      <family val="2"/>
    </font>
    <font>
      <sz val="12"/>
      <name val="Wingdings 3"/>
      <family val="1"/>
      <charset val="2"/>
    </font>
    <font>
      <u/>
      <sz val="12"/>
      <name val="Arial"/>
      <family val="2"/>
    </font>
    <font>
      <sz val="16"/>
      <name val="Arial"/>
      <family val="2"/>
    </font>
    <font>
      <sz val="12"/>
      <color indexed="18"/>
      <name val="Arial"/>
      <family val="2"/>
    </font>
    <font>
      <i/>
      <sz val="12"/>
      <color indexed="18"/>
      <name val="Arial"/>
      <family val="2"/>
    </font>
    <font>
      <u/>
      <sz val="12"/>
      <name val="Arial"/>
      <family val="2"/>
    </font>
    <font>
      <b/>
      <sz val="28"/>
      <name val="Arial"/>
      <family val="2"/>
    </font>
    <font>
      <sz val="14"/>
      <name val="Arial"/>
      <family val="2"/>
    </font>
    <font>
      <b/>
      <u/>
      <sz val="12"/>
      <name val="Arial"/>
      <family val="2"/>
    </font>
    <font>
      <b/>
      <sz val="16"/>
      <color indexed="18"/>
      <name val="Arial"/>
      <family val="2"/>
    </font>
    <font>
      <b/>
      <sz val="10"/>
      <color indexed="18"/>
      <name val="Arial"/>
      <family val="2"/>
    </font>
    <font>
      <sz val="9"/>
      <color indexed="18"/>
      <name val="Arial"/>
      <family val="2"/>
    </font>
    <font>
      <i/>
      <sz val="14"/>
      <name val="Arial"/>
      <family val="2"/>
    </font>
    <font>
      <b/>
      <i/>
      <sz val="12"/>
      <name val="Arial"/>
      <family val="2"/>
    </font>
    <font>
      <b/>
      <u/>
      <sz val="14"/>
      <name val="Arial"/>
      <family val="2"/>
    </font>
    <font>
      <sz val="11"/>
      <name val="Arial"/>
      <family val="2"/>
    </font>
    <font>
      <sz val="9"/>
      <name val="Arial"/>
      <family val="2"/>
    </font>
    <font>
      <b/>
      <sz val="9"/>
      <name val="Arial"/>
      <family val="2"/>
    </font>
    <font>
      <b/>
      <u/>
      <sz val="9"/>
      <name val="Arial"/>
      <family val="2"/>
    </font>
    <font>
      <b/>
      <sz val="11"/>
      <color indexed="18"/>
      <name val="Arial"/>
      <family val="2"/>
    </font>
    <font>
      <u/>
      <sz val="9"/>
      <name val="Arial"/>
      <family val="2"/>
    </font>
    <font>
      <sz val="12"/>
      <color indexed="12"/>
      <name val="Arial"/>
      <family val="2"/>
    </font>
    <font>
      <b/>
      <sz val="11"/>
      <color indexed="12"/>
      <name val="Arial"/>
      <family val="2"/>
    </font>
    <font>
      <b/>
      <i/>
      <sz val="12"/>
      <color indexed="18"/>
      <name val="Arial"/>
      <family val="2"/>
    </font>
    <font>
      <i/>
      <sz val="10"/>
      <name val="Arial"/>
      <family val="2"/>
    </font>
    <font>
      <i/>
      <sz val="11"/>
      <name val="Arial"/>
      <family val="2"/>
    </font>
    <font>
      <b/>
      <u/>
      <sz val="24"/>
      <name val="Arial"/>
      <family val="2"/>
    </font>
    <font>
      <b/>
      <sz val="15"/>
      <name val="Arial"/>
      <family val="2"/>
    </font>
    <font>
      <sz val="10"/>
      <color indexed="10"/>
      <name val="Arial"/>
      <family val="2"/>
    </font>
    <font>
      <b/>
      <sz val="10"/>
      <color indexed="12"/>
      <name val="Arial"/>
      <family val="2"/>
    </font>
    <font>
      <sz val="10"/>
      <name val="Arial"/>
      <family val="2"/>
    </font>
    <font>
      <sz val="10"/>
      <name val="Arial"/>
      <family val="2"/>
    </font>
    <font>
      <sz val="10"/>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Arial"/>
      <family val="2"/>
    </font>
    <font>
      <sz val="9"/>
      <color rgb="FFCCFFFF"/>
      <name val="Arial"/>
      <family val="2"/>
    </font>
    <font>
      <sz val="9"/>
      <color rgb="FFFF0000"/>
      <name val="Arial"/>
      <family val="2"/>
    </font>
    <font>
      <b/>
      <sz val="20"/>
      <color rgb="FFFF0000"/>
      <name val="Arial"/>
      <family val="2"/>
    </font>
    <font>
      <sz val="12"/>
      <color rgb="FFFF0000"/>
      <name val="Arial"/>
      <family val="2"/>
    </font>
    <font>
      <b/>
      <sz val="12"/>
      <color rgb="FFFF0000"/>
      <name val="Arial"/>
      <family val="2"/>
    </font>
    <font>
      <b/>
      <sz val="10"/>
      <color rgb="FFFF0000"/>
      <name val="Arial"/>
      <family val="2"/>
    </font>
    <font>
      <b/>
      <sz val="14"/>
      <color rgb="FFFF0000"/>
      <name val="Arial"/>
      <family val="2"/>
    </font>
    <font>
      <sz val="14"/>
      <color rgb="FFFF0000"/>
      <name val="Arial"/>
      <family val="2"/>
    </font>
    <font>
      <sz val="9"/>
      <color theme="4" tint="-0.499984740745262"/>
      <name val="Arial"/>
      <family val="2"/>
    </font>
    <font>
      <b/>
      <sz val="12"/>
      <color theme="4" tint="-0.499984740745262"/>
      <name val="Arial"/>
      <family val="2"/>
    </font>
    <font>
      <sz val="11"/>
      <color rgb="FF140CBC"/>
      <name val="Arial"/>
      <family val="2"/>
    </font>
    <font>
      <b/>
      <sz val="11"/>
      <color theme="4" tint="-0.249977111117893"/>
      <name val="Arial"/>
      <family val="2"/>
    </font>
    <font>
      <b/>
      <sz val="11"/>
      <color theme="4" tint="-0.499984740745262"/>
      <name val="Arial"/>
      <family val="2"/>
    </font>
    <font>
      <b/>
      <sz val="15"/>
      <color rgb="FFFF0000"/>
      <name val="Arial"/>
      <family val="2"/>
    </font>
  </fonts>
  <fills count="5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27"/>
        <bgColor indexed="64"/>
      </patternFill>
    </fill>
    <fill>
      <patternFill patternType="solid">
        <fgColor indexed="26"/>
        <bgColor indexed="64"/>
      </patternFill>
    </fill>
    <fill>
      <patternFill patternType="solid">
        <fgColor indexed="41"/>
        <bgColor indexed="42"/>
      </patternFill>
    </fill>
    <fill>
      <patternFill patternType="solid">
        <fgColor indexed="47"/>
        <bgColor indexed="64"/>
      </patternFill>
    </fill>
    <fill>
      <patternFill patternType="solid">
        <fgColor indexed="22"/>
        <bgColor indexed="64"/>
      </patternFill>
    </fill>
    <fill>
      <patternFill patternType="solid">
        <fgColor indexed="41"/>
        <b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indexed="41"/>
        <bgColor rgb="FFFF00FF"/>
      </patternFill>
    </fill>
    <fill>
      <patternFill patternType="solid">
        <fgColor rgb="FFFFFF00"/>
        <bgColor rgb="FF00FFFF"/>
      </patternFill>
    </fill>
    <fill>
      <patternFill patternType="solid">
        <fgColor theme="0" tint="-0.249977111117893"/>
        <bgColor rgb="FF00FFFF"/>
      </patternFill>
    </fill>
    <fill>
      <patternFill patternType="solid">
        <fgColor rgb="FFFFC000"/>
        <bgColor indexed="64"/>
      </patternFill>
    </fill>
    <fill>
      <patternFill patternType="solid">
        <fgColor theme="1"/>
        <bgColor indexed="64"/>
      </patternFill>
    </fill>
  </fills>
  <borders count="125">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style="medium">
        <color indexed="64"/>
      </bottom>
      <diagonal/>
    </border>
    <border>
      <left style="thick">
        <color indexed="64"/>
      </left>
      <right style="medium">
        <color indexed="64"/>
      </right>
      <top style="thick">
        <color indexed="64"/>
      </top>
      <bottom/>
      <diagonal/>
    </border>
    <border>
      <left style="thick">
        <color indexed="64"/>
      </left>
      <right/>
      <top/>
      <bottom/>
      <diagonal/>
    </border>
    <border>
      <left style="thick">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ck">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ck">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0">
    <xf numFmtId="0" fontId="0" fillId="0" borderId="0"/>
    <xf numFmtId="0" fontId="81" fillId="14" borderId="0" applyNumberFormat="0" applyBorder="0" applyAlignment="0" applyProtection="0"/>
    <xf numFmtId="0" fontId="81" fillId="15" borderId="0" applyNumberFormat="0" applyBorder="0" applyAlignment="0" applyProtection="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22" borderId="0" applyNumberFormat="0" applyBorder="0" applyAlignment="0" applyProtection="0"/>
    <xf numFmtId="0" fontId="81" fillId="23" borderId="0" applyNumberFormat="0" applyBorder="0" applyAlignment="0" applyProtection="0"/>
    <xf numFmtId="0" fontId="81" fillId="24" borderId="0" applyNumberFormat="0" applyBorder="0" applyAlignment="0" applyProtection="0"/>
    <xf numFmtId="0" fontId="81" fillId="25" borderId="0" applyNumberFormat="0" applyBorder="0" applyAlignment="0" applyProtection="0"/>
    <xf numFmtId="0" fontId="82" fillId="26" borderId="0" applyNumberFormat="0" applyBorder="0" applyAlignment="0" applyProtection="0"/>
    <xf numFmtId="0" fontId="82" fillId="27" borderId="0" applyNumberFormat="0" applyBorder="0" applyAlignment="0" applyProtection="0"/>
    <xf numFmtId="0" fontId="82" fillId="28" borderId="0" applyNumberFormat="0" applyBorder="0" applyAlignment="0" applyProtection="0"/>
    <xf numFmtId="0" fontId="82" fillId="29" borderId="0" applyNumberFormat="0" applyBorder="0" applyAlignment="0" applyProtection="0"/>
    <xf numFmtId="0" fontId="82" fillId="30" borderId="0" applyNumberFormat="0" applyBorder="0" applyAlignment="0" applyProtection="0"/>
    <xf numFmtId="0" fontId="82" fillId="31" borderId="0" applyNumberFormat="0" applyBorder="0" applyAlignment="0" applyProtection="0"/>
    <xf numFmtId="0" fontId="82" fillId="32" borderId="0" applyNumberFormat="0" applyBorder="0" applyAlignment="0" applyProtection="0"/>
    <xf numFmtId="0" fontId="82" fillId="33" borderId="0" applyNumberFormat="0" applyBorder="0" applyAlignment="0" applyProtection="0"/>
    <xf numFmtId="0" fontId="82" fillId="34" borderId="0" applyNumberFormat="0" applyBorder="0" applyAlignment="0" applyProtection="0"/>
    <xf numFmtId="0" fontId="82" fillId="35" borderId="0" applyNumberFormat="0" applyBorder="0" applyAlignment="0" applyProtection="0"/>
    <xf numFmtId="0" fontId="82" fillId="36" borderId="0" applyNumberFormat="0" applyBorder="0" applyAlignment="0" applyProtection="0"/>
    <xf numFmtId="0" fontId="82" fillId="37" borderId="0" applyNumberFormat="0" applyBorder="0" applyAlignment="0" applyProtection="0"/>
    <xf numFmtId="0" fontId="83" fillId="38" borderId="0" applyNumberFormat="0" applyBorder="0" applyAlignment="0" applyProtection="0"/>
    <xf numFmtId="0" fontId="84" fillId="39" borderId="116" applyNumberFormat="0" applyAlignment="0" applyProtection="0"/>
    <xf numFmtId="0" fontId="85" fillId="40" borderId="117"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6" fontId="81" fillId="0" borderId="0" applyFont="0" applyFill="0" applyBorder="0" applyAlignment="0" applyProtection="0"/>
    <xf numFmtId="43" fontId="8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5" fontId="78" fillId="0" borderId="0" applyFont="0" applyFill="0" applyBorder="0" applyAlignment="0" applyProtection="0"/>
    <xf numFmtId="165" fontId="4" fillId="0" borderId="0" applyFont="0" applyFill="0" applyBorder="0" applyAlignment="0" applyProtection="0"/>
    <xf numFmtId="44" fontId="76" fillId="0" borderId="0" applyFont="0" applyFill="0" applyBorder="0" applyAlignment="0" applyProtection="0"/>
    <xf numFmtId="44" fontId="2" fillId="0" borderId="0" applyFont="0" applyFill="0" applyBorder="0" applyAlignment="0" applyProtection="0"/>
    <xf numFmtId="165" fontId="81" fillId="0" borderId="0" applyFont="0" applyFill="0" applyBorder="0" applyAlignment="0" applyProtection="0"/>
    <xf numFmtId="44" fontId="1" fillId="0" borderId="0" applyFont="0" applyFill="0" applyBorder="0" applyAlignment="0" applyProtection="0"/>
    <xf numFmtId="165" fontId="81" fillId="0" borderId="0" applyFont="0" applyFill="0" applyBorder="0" applyAlignment="0" applyProtection="0"/>
    <xf numFmtId="44" fontId="4" fillId="0" borderId="0" applyFont="0" applyFill="0" applyBorder="0" applyAlignment="0" applyProtection="0"/>
    <xf numFmtId="44" fontId="77" fillId="0" borderId="0" applyFont="0" applyFill="0" applyBorder="0" applyAlignment="0" applyProtection="0"/>
    <xf numFmtId="165" fontId="81" fillId="0" borderId="0" applyFont="0" applyFill="0" applyBorder="0" applyAlignment="0" applyProtection="0"/>
    <xf numFmtId="44" fontId="4" fillId="0" borderId="0" applyFont="0" applyFill="0" applyBorder="0" applyAlignment="0" applyProtection="0"/>
    <xf numFmtId="44" fontId="81" fillId="0" borderId="0" applyFont="0" applyFill="0" applyBorder="0" applyAlignment="0" applyProtection="0"/>
    <xf numFmtId="169" fontId="12" fillId="0" borderId="0">
      <alignment horizontal="left"/>
    </xf>
    <xf numFmtId="0" fontId="86" fillId="0" borderId="0" applyNumberFormat="0" applyFill="0" applyBorder="0" applyAlignment="0" applyProtection="0"/>
    <xf numFmtId="164" fontId="2" fillId="2" borderId="0">
      <alignment horizontal="left"/>
      <protection locked="0"/>
    </xf>
    <xf numFmtId="167" fontId="2" fillId="2" borderId="0">
      <alignment horizontal="right"/>
      <protection locked="0"/>
    </xf>
    <xf numFmtId="0" fontId="87" fillId="41" borderId="0" applyNumberFormat="0" applyBorder="0" applyAlignment="0" applyProtection="0"/>
    <xf numFmtId="0" fontId="88" fillId="0" borderId="118" applyNumberFormat="0" applyFill="0" applyAlignment="0" applyProtection="0"/>
    <xf numFmtId="0" fontId="89" fillId="0" borderId="119" applyNumberFormat="0" applyFill="0" applyAlignment="0" applyProtection="0"/>
    <xf numFmtId="0" fontId="90" fillId="0" borderId="120" applyNumberFormat="0" applyFill="0" applyAlignment="0" applyProtection="0"/>
    <xf numFmtId="0" fontId="90" fillId="0" borderId="0" applyNumberFormat="0" applyFill="0" applyBorder="0" applyAlignment="0" applyProtection="0"/>
    <xf numFmtId="0" fontId="15" fillId="0" borderId="0" applyNumberFormat="0" applyFill="0" applyBorder="0" applyAlignment="0"/>
    <xf numFmtId="0" fontId="6" fillId="0" borderId="0" applyNumberFormat="0" applyFill="0" applyBorder="0" applyAlignment="0"/>
    <xf numFmtId="0" fontId="8" fillId="0" borderId="1" applyNumberFormat="0" applyFill="0" applyBorder="0" applyAlignment="0"/>
    <xf numFmtId="0" fontId="16" fillId="0" borderId="0" applyNumberFormat="0" applyFill="0" applyBorder="0" applyAlignment="0" applyProtection="0"/>
    <xf numFmtId="0" fontId="16" fillId="0" borderId="0" applyNumberFormat="0" applyFill="0" applyBorder="0" applyAlignment="0" applyProtection="0"/>
    <xf numFmtId="0" fontId="91" fillId="0" borderId="0" applyNumberFormat="0" applyFill="0" applyBorder="0" applyAlignment="0" applyProtection="0"/>
    <xf numFmtId="167" fontId="4" fillId="3" borderId="0" applyFont="0" applyBorder="0" applyAlignment="0">
      <protection locked="0"/>
    </xf>
    <xf numFmtId="164" fontId="4" fillId="3" borderId="2" applyNumberFormat="0" applyFont="0" applyBorder="0" applyAlignment="0">
      <alignment horizontal="right"/>
      <protection locked="0"/>
    </xf>
    <xf numFmtId="0" fontId="92" fillId="42" borderId="116" applyNumberFormat="0" applyAlignment="0" applyProtection="0"/>
    <xf numFmtId="164" fontId="9" fillId="4" borderId="0" applyFont="0" applyBorder="0" applyAlignment="0">
      <alignment horizontal="right"/>
      <protection locked="0"/>
    </xf>
    <xf numFmtId="164" fontId="4" fillId="4" borderId="0" applyFont="0" applyBorder="0" applyAlignment="0">
      <alignment horizontal="right"/>
      <protection locked="0"/>
    </xf>
    <xf numFmtId="164" fontId="4" fillId="4" borderId="0" applyFont="0" applyBorder="0" applyAlignment="0">
      <alignment horizontal="right"/>
      <protection locked="0"/>
    </xf>
    <xf numFmtId="10" fontId="9" fillId="4" borderId="0" applyFont="0" applyBorder="0">
      <alignment horizontal="right"/>
      <protection locked="0"/>
    </xf>
    <xf numFmtId="10" fontId="4" fillId="4" borderId="0" applyFont="0" applyBorder="0">
      <alignment horizontal="right"/>
      <protection locked="0"/>
    </xf>
    <xf numFmtId="10" fontId="4" fillId="4" borderId="0" applyFont="0" applyBorder="0">
      <alignment horizontal="right"/>
      <protection locked="0"/>
    </xf>
    <xf numFmtId="164" fontId="14" fillId="5" borderId="0"/>
    <xf numFmtId="0" fontId="93" fillId="0" borderId="121" applyNumberFormat="0" applyFill="0" applyAlignment="0" applyProtection="0"/>
    <xf numFmtId="0" fontId="10" fillId="0" borderId="0"/>
    <xf numFmtId="0" fontId="94" fillId="43" borderId="0" applyNumberFormat="0" applyBorder="0" applyAlignment="0" applyProtection="0"/>
    <xf numFmtId="0" fontId="76" fillId="0" borderId="0"/>
    <xf numFmtId="0" fontId="4" fillId="0" borderId="0"/>
    <xf numFmtId="0" fontId="78" fillId="0" borderId="0"/>
    <xf numFmtId="0" fontId="4" fillId="0" borderId="0"/>
    <xf numFmtId="0" fontId="81" fillId="0" borderId="0"/>
    <xf numFmtId="0" fontId="77" fillId="0" borderId="0"/>
    <xf numFmtId="0" fontId="2" fillId="0" borderId="0"/>
    <xf numFmtId="0" fontId="81" fillId="0" borderId="0"/>
    <xf numFmtId="0" fontId="81" fillId="0" borderId="0"/>
    <xf numFmtId="0" fontId="81" fillId="0" borderId="0"/>
    <xf numFmtId="0" fontId="4" fillId="0" borderId="0"/>
    <xf numFmtId="0" fontId="4" fillId="0" borderId="0"/>
    <xf numFmtId="0" fontId="81" fillId="0" borderId="0"/>
    <xf numFmtId="0" fontId="81" fillId="0" borderId="0"/>
    <xf numFmtId="0" fontId="4" fillId="0" borderId="0"/>
    <xf numFmtId="0" fontId="81" fillId="0" borderId="0"/>
    <xf numFmtId="0" fontId="81" fillId="0" borderId="0"/>
    <xf numFmtId="0" fontId="81" fillId="0" borderId="0"/>
    <xf numFmtId="0" fontId="81" fillId="44" borderId="122" applyNumberFormat="0" applyFont="0" applyAlignment="0" applyProtection="0"/>
    <xf numFmtId="0" fontId="95" fillId="39" borderId="123" applyNumberFormat="0" applyAlignment="0" applyProtection="0"/>
    <xf numFmtId="9" fontId="2" fillId="0" borderId="0" applyFont="0" applyFill="0" applyBorder="0" applyAlignment="0" applyProtection="0"/>
    <xf numFmtId="9" fontId="76" fillId="0" borderId="0" applyFont="0" applyFill="0" applyBorder="0" applyAlignment="0" applyProtection="0"/>
    <xf numFmtId="9" fontId="2" fillId="0" borderId="0" applyFont="0" applyFill="0" applyBorder="0" applyAlignment="0" applyProtection="0"/>
    <xf numFmtId="9" fontId="81" fillId="0" borderId="0" applyFont="0" applyFill="0" applyBorder="0" applyAlignment="0" applyProtection="0"/>
    <xf numFmtId="9" fontId="4" fillId="0" borderId="0" applyFont="0" applyFill="0" applyBorder="0" applyAlignment="0" applyProtection="0"/>
    <xf numFmtId="9" fontId="81" fillId="0" borderId="0" applyFont="0" applyFill="0" applyBorder="0" applyAlignment="0" applyProtection="0"/>
    <xf numFmtId="9" fontId="77" fillId="0" borderId="0" applyFont="0" applyFill="0" applyBorder="0" applyAlignment="0" applyProtection="0"/>
    <xf numFmtId="9" fontId="4" fillId="0" borderId="0" applyFont="0" applyFill="0" applyBorder="0" applyAlignment="0" applyProtection="0"/>
    <xf numFmtId="0" fontId="14" fillId="6" borderId="0" applyNumberFormat="0" applyAlignment="0"/>
    <xf numFmtId="0" fontId="96" fillId="0" borderId="0" applyNumberFormat="0" applyFill="0" applyBorder="0" applyAlignment="0" applyProtection="0"/>
    <xf numFmtId="0" fontId="97" fillId="0" borderId="124" applyNumberFormat="0" applyFill="0" applyAlignment="0" applyProtection="0"/>
    <xf numFmtId="0" fontId="98" fillId="0" borderId="0" applyNumberFormat="0" applyFill="0" applyBorder="0" applyAlignment="0" applyProtection="0"/>
    <xf numFmtId="0" fontId="13" fillId="0" borderId="0"/>
  </cellStyleXfs>
  <cellXfs count="881">
    <xf numFmtId="0" fontId="0" fillId="0" borderId="0" xfId="0"/>
    <xf numFmtId="0" fontId="5" fillId="0" borderId="0" xfId="0" applyFont="1"/>
    <xf numFmtId="0" fontId="0" fillId="0" borderId="0" xfId="0" applyBorder="1"/>
    <xf numFmtId="0" fontId="0" fillId="0" borderId="0" xfId="0" applyProtection="1"/>
    <xf numFmtId="0" fontId="4" fillId="7" borderId="0" xfId="0" applyFont="1" applyFill="1" applyBorder="1" applyProtection="1"/>
    <xf numFmtId="0" fontId="4" fillId="0" borderId="0" xfId="0" applyFont="1" applyBorder="1" applyProtection="1"/>
    <xf numFmtId="0" fontId="4" fillId="0" borderId="0" xfId="0" applyFont="1" applyFill="1" applyBorder="1" applyProtection="1"/>
    <xf numFmtId="0" fontId="0" fillId="0" borderId="0" xfId="0" applyAlignment="1" applyProtection="1">
      <alignment vertical="top" wrapText="1"/>
    </xf>
    <xf numFmtId="0" fontId="0" fillId="8" borderId="3" xfId="0" applyFill="1" applyBorder="1" applyAlignment="1" applyProtection="1">
      <alignment vertical="top" wrapText="1"/>
    </xf>
    <xf numFmtId="0" fontId="28" fillId="9" borderId="1" xfId="0" applyFont="1" applyFill="1" applyBorder="1" applyAlignment="1" applyProtection="1">
      <alignment horizontal="center" vertical="top" wrapText="1"/>
    </xf>
    <xf numFmtId="0" fontId="0" fillId="9" borderId="1" xfId="0" applyFill="1" applyBorder="1" applyAlignment="1" applyProtection="1">
      <alignment vertical="top" wrapText="1"/>
    </xf>
    <xf numFmtId="0" fontId="28" fillId="9" borderId="1" xfId="35" applyNumberFormat="1" applyFont="1" applyFill="1" applyBorder="1" applyAlignment="1" applyProtection="1">
      <alignment horizontal="center" vertical="top" wrapText="1"/>
    </xf>
    <xf numFmtId="0" fontId="28" fillId="9" borderId="1" xfId="28" applyNumberFormat="1" applyFont="1" applyFill="1" applyBorder="1" applyAlignment="1" applyProtection="1">
      <alignment horizontal="center" vertical="top" wrapText="1"/>
    </xf>
    <xf numFmtId="0" fontId="28" fillId="9" borderId="4" xfId="0" applyFont="1" applyFill="1" applyBorder="1" applyAlignment="1" applyProtection="1">
      <alignment horizontal="center" vertical="top" wrapText="1"/>
    </xf>
    <xf numFmtId="0" fontId="0" fillId="8" borderId="5" xfId="0" applyFill="1" applyBorder="1" applyAlignment="1" applyProtection="1">
      <alignment vertical="top" wrapText="1"/>
    </xf>
    <xf numFmtId="0" fontId="11" fillId="7" borderId="6" xfId="0" applyFont="1" applyFill="1" applyBorder="1" applyAlignment="1" applyProtection="1">
      <alignment vertical="center"/>
      <protection locked="0"/>
    </xf>
    <xf numFmtId="0" fontId="11" fillId="7" borderId="6" xfId="0"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protection locked="0"/>
    </xf>
    <xf numFmtId="0" fontId="11" fillId="7" borderId="6" xfId="0" applyNumberFormat="1" applyFont="1" applyFill="1" applyBorder="1" applyAlignment="1" applyProtection="1">
      <alignment vertical="center"/>
      <protection locked="0"/>
    </xf>
    <xf numFmtId="172" fontId="11" fillId="7" borderId="6" xfId="28" applyNumberFormat="1" applyFont="1" applyFill="1" applyBorder="1" applyAlignment="1" applyProtection="1">
      <alignment vertical="center"/>
      <protection locked="0"/>
    </xf>
    <xf numFmtId="4" fontId="11" fillId="7" borderId="6" xfId="0" applyNumberFormat="1" applyFont="1" applyFill="1" applyBorder="1" applyAlignment="1" applyProtection="1">
      <alignment horizontal="center" vertical="top" wrapText="1"/>
      <protection locked="0"/>
    </xf>
    <xf numFmtId="0" fontId="4" fillId="0" borderId="0" xfId="0" applyFont="1" applyProtection="1"/>
    <xf numFmtId="170" fontId="9" fillId="0" borderId="0" xfId="28" applyNumberFormat="1" applyFont="1" applyProtection="1"/>
    <xf numFmtId="4" fontId="0" fillId="0" borderId="6" xfId="0" applyNumberFormat="1" applyFill="1" applyBorder="1" applyProtection="1">
      <protection locked="0"/>
    </xf>
    <xf numFmtId="0" fontId="0" fillId="0" borderId="0" xfId="0" applyFill="1" applyBorder="1"/>
    <xf numFmtId="0" fontId="0" fillId="3" borderId="1" xfId="0" applyFill="1" applyBorder="1"/>
    <xf numFmtId="0" fontId="0" fillId="3" borderId="3" xfId="0" applyFill="1" applyBorder="1"/>
    <xf numFmtId="0" fontId="23" fillId="3" borderId="3" xfId="0" applyFont="1" applyFill="1" applyBorder="1"/>
    <xf numFmtId="0" fontId="0" fillId="3" borderId="7" xfId="0" applyFill="1" applyBorder="1"/>
    <xf numFmtId="0" fontId="37" fillId="3" borderId="0" xfId="0" applyFont="1" applyFill="1" applyBorder="1" applyAlignment="1" applyProtection="1">
      <alignment vertical="top"/>
    </xf>
    <xf numFmtId="0" fontId="0" fillId="3" borderId="1" xfId="0" applyFill="1" applyBorder="1" applyProtection="1"/>
    <xf numFmtId="0" fontId="4" fillId="3" borderId="8" xfId="0" applyFont="1" applyFill="1" applyBorder="1" applyProtection="1"/>
    <xf numFmtId="0" fontId="0" fillId="3" borderId="8" xfId="0" applyFill="1" applyBorder="1" applyProtection="1"/>
    <xf numFmtId="170" fontId="9" fillId="3" borderId="8" xfId="28" applyNumberFormat="1" applyFont="1" applyFill="1" applyBorder="1" applyProtection="1"/>
    <xf numFmtId="170" fontId="5" fillId="3" borderId="8" xfId="28" applyNumberFormat="1" applyFont="1" applyFill="1" applyBorder="1" applyAlignment="1" applyProtection="1">
      <alignment horizontal="center"/>
    </xf>
    <xf numFmtId="3" fontId="0" fillId="3" borderId="9" xfId="0" applyNumberFormat="1" applyFill="1" applyBorder="1" applyProtection="1"/>
    <xf numFmtId="0" fontId="0" fillId="3" borderId="3" xfId="0" applyFill="1" applyBorder="1" applyProtection="1"/>
    <xf numFmtId="0" fontId="6" fillId="3" borderId="0" xfId="0" applyFont="1" applyFill="1" applyBorder="1" applyProtection="1"/>
    <xf numFmtId="0" fontId="0" fillId="3" borderId="0" xfId="0" applyFill="1" applyBorder="1" applyProtection="1"/>
    <xf numFmtId="170" fontId="9" fillId="3" borderId="0" xfId="28" applyNumberFormat="1" applyFont="1" applyFill="1" applyBorder="1" applyProtection="1"/>
    <xf numFmtId="0" fontId="28" fillId="3" borderId="0" xfId="0" applyFont="1" applyFill="1" applyBorder="1" applyProtection="1"/>
    <xf numFmtId="3" fontId="0" fillId="3" borderId="5" xfId="0" applyNumberFormat="1" applyFill="1" applyBorder="1" applyProtection="1"/>
    <xf numFmtId="0" fontId="4" fillId="3" borderId="0" xfId="0" applyFont="1" applyFill="1" applyBorder="1" applyProtection="1"/>
    <xf numFmtId="0" fontId="21" fillId="3" borderId="0" xfId="0" applyFont="1" applyFill="1" applyBorder="1" applyProtection="1"/>
    <xf numFmtId="170" fontId="5" fillId="3" borderId="0" xfId="28" applyNumberFormat="1" applyFont="1" applyFill="1" applyBorder="1" applyProtection="1"/>
    <xf numFmtId="0" fontId="0" fillId="3" borderId="5" xfId="0" applyFill="1" applyBorder="1" applyProtection="1"/>
    <xf numFmtId="0" fontId="28" fillId="3" borderId="5" xfId="0" applyFont="1" applyFill="1" applyBorder="1" applyAlignment="1" applyProtection="1">
      <alignment horizontal="centerContinuous"/>
    </xf>
    <xf numFmtId="0" fontId="29" fillId="3" borderId="0" xfId="0" applyFont="1" applyFill="1" applyBorder="1" applyProtection="1"/>
    <xf numFmtId="0" fontId="28" fillId="3" borderId="5" xfId="0" applyFont="1" applyFill="1" applyBorder="1" applyProtection="1"/>
    <xf numFmtId="0" fontId="30" fillId="3" borderId="0" xfId="0" applyFont="1" applyFill="1" applyBorder="1" applyAlignment="1" applyProtection="1">
      <alignment horizontal="left"/>
    </xf>
    <xf numFmtId="0" fontId="31" fillId="3" borderId="0" xfId="0" applyFont="1" applyFill="1" applyBorder="1" applyProtection="1"/>
    <xf numFmtId="0" fontId="0" fillId="3" borderId="3" xfId="0" applyFill="1" applyBorder="1" applyAlignment="1" applyProtection="1">
      <alignment vertical="top" wrapText="1"/>
    </xf>
    <xf numFmtId="0" fontId="28" fillId="3" borderId="6" xfId="0" applyFont="1" applyFill="1" applyBorder="1" applyAlignment="1" applyProtection="1">
      <alignment horizontal="center" vertical="center" wrapText="1"/>
    </xf>
    <xf numFmtId="0" fontId="28" fillId="3" borderId="6" xfId="35" applyNumberFormat="1"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28" fillId="3" borderId="6" xfId="28" applyNumberFormat="1" applyFont="1" applyFill="1" applyBorder="1" applyAlignment="1" applyProtection="1">
      <alignment horizontal="center" vertical="center" wrapText="1"/>
    </xf>
    <xf numFmtId="0" fontId="0" fillId="3" borderId="5" xfId="0" applyFill="1" applyBorder="1" applyAlignment="1" applyProtection="1">
      <alignment vertical="top" wrapText="1"/>
    </xf>
    <xf numFmtId="10" fontId="11" fillId="3" borderId="6" xfId="97" applyNumberFormat="1" applyFont="1" applyFill="1" applyBorder="1" applyAlignment="1" applyProtection="1">
      <alignment vertical="center"/>
    </xf>
    <xf numFmtId="3" fontId="11" fillId="3" borderId="6" xfId="28" applyNumberFormat="1" applyFont="1" applyFill="1" applyBorder="1" applyAlignment="1" applyProtection="1">
      <alignment vertical="center"/>
    </xf>
    <xf numFmtId="0" fontId="28" fillId="3" borderId="0" xfId="0" applyFont="1" applyFill="1" applyBorder="1" applyAlignment="1" applyProtection="1">
      <alignment horizontal="left"/>
    </xf>
    <xf numFmtId="0" fontId="28" fillId="3" borderId="0" xfId="0" applyFont="1" applyFill="1" applyBorder="1" applyAlignment="1" applyProtection="1">
      <alignment horizontal="right"/>
    </xf>
    <xf numFmtId="3" fontId="11" fillId="3" borderId="6" xfId="28" applyNumberFormat="1" applyFont="1" applyFill="1" applyBorder="1" applyProtection="1"/>
    <xf numFmtId="170" fontId="28" fillId="3" borderId="0" xfId="28" applyNumberFormat="1" applyFont="1" applyFill="1" applyBorder="1" applyAlignment="1" applyProtection="1">
      <alignment horizontal="right"/>
    </xf>
    <xf numFmtId="0" fontId="0" fillId="3" borderId="7" xfId="0" applyFill="1" applyBorder="1" applyProtection="1"/>
    <xf numFmtId="0" fontId="28" fillId="3" borderId="2" xfId="0" applyFont="1" applyFill="1" applyBorder="1" applyAlignment="1" applyProtection="1">
      <alignment horizontal="right"/>
    </xf>
    <xf numFmtId="0" fontId="0" fillId="3" borderId="2" xfId="0" applyFill="1" applyBorder="1" applyProtection="1"/>
    <xf numFmtId="0" fontId="28" fillId="3" borderId="2" xfId="0" applyFont="1" applyFill="1" applyBorder="1" applyProtection="1"/>
    <xf numFmtId="172" fontId="9" fillId="3" borderId="2" xfId="28" applyNumberFormat="1" applyFont="1" applyFill="1" applyBorder="1" applyProtection="1"/>
    <xf numFmtId="170" fontId="28" fillId="3" borderId="2" xfId="28" applyNumberFormat="1" applyFont="1" applyFill="1" applyBorder="1" applyAlignment="1" applyProtection="1">
      <alignment horizontal="right"/>
    </xf>
    <xf numFmtId="172" fontId="9" fillId="3" borderId="10" xfId="28" applyNumberFormat="1" applyFont="1" applyFill="1" applyBorder="1" applyProtection="1"/>
    <xf numFmtId="0" fontId="6" fillId="3" borderId="8" xfId="0" applyFont="1" applyFill="1" applyBorder="1" applyProtection="1"/>
    <xf numFmtId="0" fontId="0" fillId="3" borderId="9" xfId="0" applyFill="1" applyBorder="1" applyProtection="1"/>
    <xf numFmtId="0" fontId="33" fillId="3" borderId="0" xfId="0" applyFont="1" applyFill="1" applyBorder="1" applyAlignment="1" applyProtection="1">
      <alignment horizontal="centerContinuous"/>
    </xf>
    <xf numFmtId="0" fontId="25" fillId="3" borderId="0" xfId="0" applyFont="1" applyFill="1" applyBorder="1" applyAlignment="1" applyProtection="1">
      <alignment horizontal="centerContinuous"/>
    </xf>
    <xf numFmtId="0" fontId="4" fillId="3" borderId="0" xfId="0" applyFont="1" applyFill="1" applyBorder="1" applyAlignment="1" applyProtection="1">
      <alignment horizontal="centerContinuous"/>
    </xf>
    <xf numFmtId="0" fontId="0" fillId="3" borderId="0" xfId="0" applyFill="1" applyBorder="1" applyAlignment="1" applyProtection="1">
      <alignment horizontal="centerContinuous"/>
    </xf>
    <xf numFmtId="170" fontId="9" fillId="3" borderId="0" xfId="28" applyNumberFormat="1" applyFont="1" applyFill="1" applyBorder="1" applyAlignment="1" applyProtection="1">
      <alignment horizontal="centerContinuous"/>
    </xf>
    <xf numFmtId="0" fontId="28" fillId="3" borderId="1" xfId="0" applyFont="1" applyFill="1" applyBorder="1" applyAlignment="1" applyProtection="1">
      <alignment horizontal="center" vertical="center" wrapText="1"/>
    </xf>
    <xf numFmtId="172" fontId="9" fillId="3" borderId="0" xfId="28" applyNumberFormat="1" applyFont="1" applyFill="1" applyBorder="1" applyProtection="1"/>
    <xf numFmtId="172" fontId="11" fillId="3" borderId="11" xfId="28" applyNumberFormat="1" applyFont="1" applyFill="1" applyBorder="1" applyProtection="1"/>
    <xf numFmtId="0" fontId="35" fillId="3" borderId="0" xfId="0" applyFont="1" applyFill="1" applyBorder="1" applyProtection="1"/>
    <xf numFmtId="0" fontId="23" fillId="3" borderId="0" xfId="0" applyFont="1" applyFill="1" applyBorder="1" applyProtection="1"/>
    <xf numFmtId="172" fontId="23" fillId="3" borderId="0" xfId="28" applyNumberFormat="1" applyFont="1" applyFill="1" applyBorder="1" applyProtection="1"/>
    <xf numFmtId="0" fontId="8" fillId="3" borderId="0" xfId="0" applyFont="1" applyFill="1" applyBorder="1" applyProtection="1"/>
    <xf numFmtId="172" fontId="9" fillId="3" borderId="5" xfId="28" applyNumberFormat="1" applyFont="1" applyFill="1" applyBorder="1" applyProtection="1"/>
    <xf numFmtId="170" fontId="34" fillId="3" borderId="0" xfId="28" applyNumberFormat="1" applyFont="1" applyFill="1" applyBorder="1" applyAlignment="1" applyProtection="1">
      <alignment horizontal="centerContinuous"/>
    </xf>
    <xf numFmtId="172" fontId="34" fillId="3" borderId="0" xfId="28" applyNumberFormat="1" applyFont="1" applyFill="1" applyBorder="1" applyAlignment="1" applyProtection="1">
      <alignment horizontal="centerContinuous"/>
    </xf>
    <xf numFmtId="0" fontId="0" fillId="3" borderId="10" xfId="0" applyFill="1" applyBorder="1" applyProtection="1"/>
    <xf numFmtId="172" fontId="17" fillId="3" borderId="0" xfId="28" applyNumberFormat="1" applyFont="1" applyFill="1" applyBorder="1" applyAlignment="1" applyProtection="1">
      <alignment horizontal="centerContinuous"/>
    </xf>
    <xf numFmtId="170" fontId="9" fillId="3" borderId="2" xfId="28" applyNumberFormat="1" applyFont="1" applyFill="1" applyBorder="1" applyProtection="1"/>
    <xf numFmtId="0" fontId="18" fillId="3" borderId="0" xfId="0" applyFont="1" applyFill="1" applyBorder="1" applyAlignment="1" applyProtection="1">
      <alignment horizontal="center"/>
    </xf>
    <xf numFmtId="0" fontId="20" fillId="10" borderId="0" xfId="0" applyFont="1" applyFill="1" applyBorder="1" applyAlignment="1" applyProtection="1">
      <alignment horizontal="centerContinuous"/>
    </xf>
    <xf numFmtId="0" fontId="8" fillId="3" borderId="0" xfId="0" applyFont="1" applyFill="1" applyBorder="1" applyAlignment="1" applyProtection="1">
      <alignment horizontal="right"/>
    </xf>
    <xf numFmtId="0" fontId="8" fillId="3" borderId="2" xfId="0" applyFont="1" applyFill="1" applyBorder="1" applyProtection="1"/>
    <xf numFmtId="0" fontId="44" fillId="3" borderId="0" xfId="0" applyFont="1" applyFill="1" applyBorder="1" applyAlignment="1" applyProtection="1"/>
    <xf numFmtId="0" fontId="44" fillId="3" borderId="0" xfId="0" applyFont="1" applyFill="1" applyBorder="1" applyProtection="1"/>
    <xf numFmtId="0" fontId="44" fillId="3" borderId="2" xfId="0" applyFont="1" applyFill="1" applyBorder="1" applyProtection="1"/>
    <xf numFmtId="0" fontId="44" fillId="3" borderId="8" xfId="0" applyFont="1" applyFill="1" applyBorder="1" applyAlignment="1" applyProtection="1"/>
    <xf numFmtId="0" fontId="44" fillId="3" borderId="8" xfId="0" applyFont="1" applyFill="1" applyBorder="1" applyProtection="1"/>
    <xf numFmtId="0" fontId="6" fillId="3" borderId="0" xfId="0" applyFont="1" applyFill="1" applyBorder="1" applyAlignment="1" applyProtection="1"/>
    <xf numFmtId="0" fontId="7" fillId="3" borderId="0" xfId="0" applyFont="1" applyFill="1" applyBorder="1" applyAlignment="1" applyProtection="1"/>
    <xf numFmtId="0" fontId="40"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2" fillId="3" borderId="0" xfId="0" applyFont="1" applyFill="1" applyBorder="1" applyAlignment="1" applyProtection="1">
      <alignment horizontal="center"/>
    </xf>
    <xf numFmtId="0" fontId="23" fillId="3" borderId="3" xfId="0" applyFont="1" applyFill="1" applyBorder="1" applyProtection="1"/>
    <xf numFmtId="0" fontId="35" fillId="3" borderId="0" xfId="0" applyFont="1" applyFill="1" applyBorder="1" applyAlignment="1" applyProtection="1">
      <alignment horizontal="center"/>
    </xf>
    <xf numFmtId="0" fontId="44" fillId="3" borderId="0" xfId="0" applyFont="1" applyFill="1" applyBorder="1" applyAlignment="1" applyProtection="1">
      <alignment vertical="center"/>
    </xf>
    <xf numFmtId="0" fontId="8" fillId="3" borderId="0" xfId="0" applyFont="1" applyFill="1" applyBorder="1" applyAlignment="1" applyProtection="1"/>
    <xf numFmtId="0" fontId="6" fillId="3" borderId="0" xfId="0" applyFont="1" applyFill="1" applyBorder="1" applyAlignment="1" applyProtection="1">
      <alignment horizontal="left"/>
    </xf>
    <xf numFmtId="0" fontId="5" fillId="3" borderId="0" xfId="0" applyFont="1" applyFill="1" applyBorder="1" applyAlignment="1" applyProtection="1">
      <alignment horizontal="right"/>
    </xf>
    <xf numFmtId="0" fontId="46" fillId="3" borderId="0" xfId="0" applyFont="1" applyFill="1" applyBorder="1" applyAlignment="1" applyProtection="1">
      <alignment horizontal="right"/>
    </xf>
    <xf numFmtId="0" fontId="47" fillId="3" borderId="0" xfId="0" applyFont="1" applyFill="1" applyBorder="1" applyProtection="1"/>
    <xf numFmtId="0" fontId="42" fillId="3" borderId="9" xfId="0" applyFont="1" applyFill="1" applyBorder="1" applyAlignment="1" applyProtection="1">
      <alignment horizontal="center"/>
    </xf>
    <xf numFmtId="0" fontId="42" fillId="3" borderId="5" xfId="0" applyFont="1" applyFill="1" applyBorder="1" applyAlignment="1" applyProtection="1">
      <alignment horizontal="center"/>
    </xf>
    <xf numFmtId="0" fontId="15" fillId="3" borderId="5" xfId="0" applyFont="1" applyFill="1" applyBorder="1" applyAlignment="1" applyProtection="1">
      <alignment horizontal="center"/>
    </xf>
    <xf numFmtId="0" fontId="23" fillId="3" borderId="5" xfId="0" applyFont="1" applyFill="1" applyBorder="1" applyProtection="1"/>
    <xf numFmtId="0" fontId="41" fillId="3" borderId="0" xfId="0" applyFont="1" applyFill="1" applyBorder="1" applyAlignment="1" applyProtection="1"/>
    <xf numFmtId="0" fontId="49" fillId="3" borderId="0" xfId="0" applyFont="1" applyFill="1" applyBorder="1" applyProtection="1"/>
    <xf numFmtId="0" fontId="15" fillId="3" borderId="0" xfId="0" applyFont="1" applyFill="1" applyBorder="1" applyAlignment="1" applyProtection="1">
      <alignment horizontal="left"/>
    </xf>
    <xf numFmtId="0" fontId="42" fillId="3" borderId="5" xfId="0" applyFont="1" applyFill="1" applyBorder="1" applyAlignment="1" applyProtection="1">
      <alignment horizontal="left"/>
    </xf>
    <xf numFmtId="0" fontId="0" fillId="0" borderId="0" xfId="0" applyAlignment="1">
      <alignment horizontal="left"/>
    </xf>
    <xf numFmtId="0" fontId="5" fillId="3" borderId="2" xfId="0" applyFont="1" applyFill="1" applyBorder="1" applyAlignment="1" applyProtection="1">
      <alignment horizontal="right"/>
    </xf>
    <xf numFmtId="0" fontId="50" fillId="3" borderId="0" xfId="0" applyFont="1" applyFill="1" applyBorder="1" applyProtection="1"/>
    <xf numFmtId="0" fontId="0" fillId="11" borderId="3" xfId="0" applyFill="1" applyBorder="1"/>
    <xf numFmtId="0" fontId="8" fillId="10" borderId="0" xfId="0" applyFont="1" applyFill="1" applyBorder="1" applyAlignment="1" applyProtection="1"/>
    <xf numFmtId="0" fontId="28" fillId="3" borderId="0" xfId="0" applyFont="1" applyFill="1" applyBorder="1" applyAlignment="1" applyProtection="1">
      <alignment horizontal="center"/>
    </xf>
    <xf numFmtId="0" fontId="28" fillId="3" borderId="4" xfId="0" applyFont="1" applyFill="1" applyBorder="1" applyAlignment="1" applyProtection="1">
      <alignment horizontal="center" vertical="top"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vertical="center"/>
    </xf>
    <xf numFmtId="10" fontId="26" fillId="3" borderId="2" xfId="0" applyNumberFormat="1" applyFont="1" applyFill="1" applyBorder="1" applyAlignment="1" applyProtection="1">
      <alignment horizontal="right" vertical="center"/>
    </xf>
    <xf numFmtId="0" fontId="46" fillId="3" borderId="8" xfId="0" applyFont="1" applyFill="1" applyBorder="1" applyAlignment="1" applyProtection="1">
      <alignment horizontal="right"/>
    </xf>
    <xf numFmtId="0" fontId="23" fillId="3" borderId="3" xfId="0" applyFont="1" applyFill="1" applyBorder="1" applyAlignment="1" applyProtection="1">
      <alignment horizontal="right" vertical="center"/>
    </xf>
    <xf numFmtId="0" fontId="43" fillId="3" borderId="0" xfId="0" applyFont="1" applyFill="1" applyBorder="1" applyAlignment="1" applyProtection="1">
      <alignment horizontal="right" vertical="center"/>
    </xf>
    <xf numFmtId="0" fontId="21" fillId="3" borderId="0" xfId="0" applyFont="1" applyFill="1" applyBorder="1" applyAlignment="1" applyProtection="1">
      <alignment horizontal="right" vertical="center"/>
    </xf>
    <xf numFmtId="0" fontId="23" fillId="3" borderId="5" xfId="0" applyFont="1" applyFill="1" applyBorder="1" applyAlignment="1" applyProtection="1">
      <alignment horizontal="right" vertical="center"/>
    </xf>
    <xf numFmtId="0" fontId="0" fillId="0" borderId="0" xfId="0" applyBorder="1" applyAlignment="1">
      <alignment horizontal="right" vertical="center"/>
    </xf>
    <xf numFmtId="0" fontId="23" fillId="3" borderId="3"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0" fillId="0" borderId="0" xfId="0" applyBorder="1" applyAlignment="1">
      <alignment horizontal="center" vertical="center"/>
    </xf>
    <xf numFmtId="0" fontId="8" fillId="0" borderId="0" xfId="6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5" fillId="3" borderId="8" xfId="0" applyFont="1" applyFill="1" applyBorder="1" applyAlignment="1" applyProtection="1">
      <alignment horizontal="right"/>
    </xf>
    <xf numFmtId="0" fontId="44" fillId="3" borderId="3" xfId="0" applyFont="1" applyFill="1" applyBorder="1" applyAlignment="1" applyProtection="1"/>
    <xf numFmtId="0" fontId="44" fillId="3" borderId="5" xfId="0" applyFont="1" applyFill="1" applyBorder="1" applyAlignment="1" applyProtection="1">
      <alignment horizontal="center"/>
    </xf>
    <xf numFmtId="0" fontId="44" fillId="3" borderId="2" xfId="0" applyFont="1" applyFill="1" applyBorder="1" applyAlignment="1" applyProtection="1"/>
    <xf numFmtId="0" fontId="44" fillId="7" borderId="12" xfId="0" applyFont="1" applyFill="1" applyBorder="1" applyAlignment="1" applyProtection="1"/>
    <xf numFmtId="0" fontId="44" fillId="7" borderId="13" xfId="0" applyFont="1" applyFill="1" applyBorder="1" applyAlignment="1" applyProtection="1"/>
    <xf numFmtId="0" fontId="44" fillId="7" borderId="14" xfId="0" applyFont="1" applyFill="1" applyBorder="1" applyAlignment="1" applyProtection="1"/>
    <xf numFmtId="0" fontId="44" fillId="7" borderId="15" xfId="0" applyFont="1" applyFill="1" applyBorder="1" applyAlignment="1" applyProtection="1"/>
    <xf numFmtId="0" fontId="44" fillId="7" borderId="0" xfId="0" applyFont="1" applyFill="1" applyBorder="1" applyAlignment="1" applyProtection="1"/>
    <xf numFmtId="0" fontId="44" fillId="7" borderId="16" xfId="0" applyFont="1" applyFill="1" applyBorder="1" applyAlignment="1" applyProtection="1"/>
    <xf numFmtId="0" fontId="8" fillId="7" borderId="0" xfId="0" applyFont="1" applyFill="1" applyBorder="1" applyAlignment="1" applyProtection="1"/>
    <xf numFmtId="0" fontId="44" fillId="7" borderId="17" xfId="0" applyFont="1" applyFill="1" applyBorder="1" applyAlignment="1" applyProtection="1"/>
    <xf numFmtId="0" fontId="44" fillId="7" borderId="18" xfId="0" applyFont="1" applyFill="1" applyBorder="1" applyAlignment="1" applyProtection="1"/>
    <xf numFmtId="0" fontId="44" fillId="7" borderId="19" xfId="0" applyFont="1" applyFill="1" applyBorder="1" applyAlignment="1" applyProtection="1"/>
    <xf numFmtId="0" fontId="52" fillId="3" borderId="0" xfId="0" applyFont="1" applyFill="1" applyBorder="1" applyAlignment="1" applyProtection="1">
      <alignment horizontal="center"/>
    </xf>
    <xf numFmtId="0" fontId="44" fillId="3" borderId="0" xfId="0" applyFont="1" applyFill="1" applyBorder="1" applyAlignment="1" applyProtection="1">
      <alignment horizontal="right"/>
    </xf>
    <xf numFmtId="0" fontId="2" fillId="0" borderId="0" xfId="0" applyFont="1"/>
    <xf numFmtId="0" fontId="62" fillId="0" borderId="0" xfId="0" applyFont="1"/>
    <xf numFmtId="0" fontId="63" fillId="0" borderId="0" xfId="0" applyFont="1"/>
    <xf numFmtId="0" fontId="64" fillId="0" borderId="0" xfId="0" applyFont="1"/>
    <xf numFmtId="0" fontId="23" fillId="0" borderId="0" xfId="0" applyFont="1" applyFill="1" applyBorder="1"/>
    <xf numFmtId="0" fontId="52" fillId="3" borderId="5" xfId="0" applyFont="1" applyFill="1" applyBorder="1" applyAlignment="1" applyProtection="1">
      <alignment horizontal="center"/>
    </xf>
    <xf numFmtId="0" fontId="0" fillId="3" borderId="3" xfId="0" applyFill="1" applyBorder="1" applyAlignment="1" applyProtection="1">
      <alignment wrapText="1"/>
    </xf>
    <xf numFmtId="0" fontId="11" fillId="7" borderId="6" xfId="0" applyNumberFormat="1" applyFont="1" applyFill="1" applyBorder="1" applyAlignment="1" applyProtection="1">
      <alignment vertical="center" wrapText="1"/>
      <protection locked="0"/>
    </xf>
    <xf numFmtId="4" fontId="11" fillId="7" borderId="6" xfId="0" applyNumberFormat="1" applyFont="1" applyFill="1" applyBorder="1" applyAlignment="1" applyProtection="1">
      <alignment vertical="center" wrapText="1"/>
      <protection locked="0"/>
    </xf>
    <xf numFmtId="10" fontId="11" fillId="3" borderId="6" xfId="97" applyNumberFormat="1" applyFont="1" applyFill="1" applyBorder="1" applyAlignment="1" applyProtection="1">
      <alignment vertical="center" wrapText="1"/>
    </xf>
    <xf numFmtId="172" fontId="11" fillId="7" borderId="6" xfId="28" applyNumberFormat="1" applyFont="1" applyFill="1" applyBorder="1" applyAlignment="1" applyProtection="1">
      <alignment vertical="center" wrapText="1"/>
      <protection locked="0"/>
    </xf>
    <xf numFmtId="3" fontId="11" fillId="3" borderId="6" xfId="28" applyNumberFormat="1" applyFont="1" applyFill="1" applyBorder="1" applyAlignment="1" applyProtection="1">
      <alignment vertical="center" wrapText="1"/>
    </xf>
    <xf numFmtId="0" fontId="0" fillId="3" borderId="5" xfId="0" applyFill="1" applyBorder="1" applyAlignment="1" applyProtection="1">
      <alignment wrapText="1"/>
    </xf>
    <xf numFmtId="0" fontId="0" fillId="0" borderId="0" xfId="0" applyAlignment="1" applyProtection="1">
      <alignment wrapText="1"/>
    </xf>
    <xf numFmtId="3" fontId="0" fillId="0" borderId="6" xfId="0" applyNumberFormat="1" applyFill="1" applyBorder="1" applyProtection="1">
      <protection locked="0"/>
    </xf>
    <xf numFmtId="4" fontId="0" fillId="3" borderId="6" xfId="0" applyNumberFormat="1" applyFill="1" applyBorder="1" applyProtection="1">
      <protection locked="0"/>
    </xf>
    <xf numFmtId="4" fontId="0" fillId="3" borderId="20" xfId="0" applyNumberFormat="1" applyFill="1" applyBorder="1" applyProtection="1">
      <protection locked="0"/>
    </xf>
    <xf numFmtId="3" fontId="0" fillId="3" borderId="6" xfId="0" applyNumberFormat="1" applyFill="1" applyBorder="1" applyProtection="1">
      <protection locked="0"/>
    </xf>
    <xf numFmtId="4" fontId="0" fillId="3" borderId="21" xfId="0" applyNumberFormat="1" applyFill="1" applyBorder="1" applyProtection="1">
      <protection locked="0"/>
    </xf>
    <xf numFmtId="0" fontId="0" fillId="0" borderId="0" xfId="0" applyFill="1"/>
    <xf numFmtId="0" fontId="4" fillId="0" borderId="0" xfId="0" applyFont="1" applyFill="1" applyProtection="1"/>
    <xf numFmtId="10" fontId="23" fillId="3" borderId="0" xfId="0" applyNumberFormat="1" applyFont="1" applyFill="1" applyBorder="1" applyAlignment="1" applyProtection="1">
      <alignment horizontal="right"/>
    </xf>
    <xf numFmtId="0" fontId="15" fillId="3" borderId="0" xfId="58" applyFont="1" applyFill="1" applyBorder="1" applyAlignment="1" applyProtection="1"/>
    <xf numFmtId="0" fontId="59" fillId="3" borderId="0" xfId="0" applyFont="1" applyFill="1" applyBorder="1" applyProtection="1"/>
    <xf numFmtId="0" fontId="44" fillId="3" borderId="0" xfId="0" applyFont="1" applyFill="1" applyProtection="1"/>
    <xf numFmtId="0" fontId="6" fillId="3" borderId="0" xfId="0" applyFont="1" applyFill="1" applyBorder="1" applyAlignment="1" applyProtection="1">
      <alignment horizontal="center" wrapText="1"/>
    </xf>
    <xf numFmtId="0" fontId="32" fillId="3" borderId="0" xfId="0" applyFont="1" applyFill="1" applyBorder="1" applyAlignment="1" applyProtection="1">
      <alignment horizontal="center" wrapText="1"/>
    </xf>
    <xf numFmtId="0" fontId="42" fillId="3"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0" fillId="0" borderId="0" xfId="0" applyBorder="1" applyAlignment="1"/>
    <xf numFmtId="0" fontId="8" fillId="3" borderId="0" xfId="0" applyFont="1" applyFill="1" applyBorder="1" applyAlignment="1" applyProtection="1">
      <alignment horizontal="left"/>
    </xf>
    <xf numFmtId="0" fontId="44" fillId="3" borderId="0" xfId="0" applyFont="1" applyFill="1" applyBorder="1" applyAlignment="1" applyProtection="1">
      <alignment horizontal="left"/>
    </xf>
    <xf numFmtId="0" fontId="7" fillId="3" borderId="8" xfId="0" applyFont="1" applyFill="1" applyBorder="1" applyAlignment="1" applyProtection="1"/>
    <xf numFmtId="0" fontId="44" fillId="0" borderId="0" xfId="0" applyFont="1" applyFill="1" applyBorder="1" applyAlignment="1" applyProtection="1">
      <alignment horizontal="left"/>
    </xf>
    <xf numFmtId="0" fontId="0" fillId="0" borderId="0" xfId="0" applyFill="1" applyAlignment="1" applyProtection="1">
      <alignment horizontal="left"/>
    </xf>
    <xf numFmtId="0" fontId="44" fillId="0" borderId="0" xfId="0" applyFont="1" applyFill="1" applyBorder="1" applyAlignment="1" applyProtection="1"/>
    <xf numFmtId="0" fontId="0" fillId="0" borderId="0" xfId="0" applyFill="1" applyBorder="1" applyAlignment="1"/>
    <xf numFmtId="0" fontId="0" fillId="3" borderId="5" xfId="0" applyFill="1" applyBorder="1" applyAlignment="1" applyProtection="1"/>
    <xf numFmtId="0" fontId="8" fillId="3" borderId="5" xfId="0" applyFont="1" applyFill="1" applyBorder="1" applyAlignment="1" applyProtection="1">
      <alignment horizontal="left"/>
    </xf>
    <xf numFmtId="0" fontId="5" fillId="3" borderId="5" xfId="0" applyFont="1" applyFill="1" applyBorder="1" applyAlignment="1" applyProtection="1">
      <alignment horizontal="right"/>
    </xf>
    <xf numFmtId="0" fontId="44" fillId="3" borderId="5" xfId="0" applyFont="1" applyFill="1" applyBorder="1" applyAlignment="1" applyProtection="1"/>
    <xf numFmtId="0" fontId="7" fillId="3" borderId="2" xfId="0" applyFont="1" applyFill="1" applyBorder="1" applyAlignment="1" applyProtection="1"/>
    <xf numFmtId="0" fontId="19" fillId="3" borderId="0" xfId="0" applyFont="1" applyFill="1" applyBorder="1" applyAlignment="1" applyProtection="1">
      <alignment horizontal="center"/>
    </xf>
    <xf numFmtId="0" fontId="23" fillId="3" borderId="0" xfId="0" applyFont="1" applyFill="1" applyBorder="1" applyAlignment="1" applyProtection="1"/>
    <xf numFmtId="0" fontId="0" fillId="3" borderId="0" xfId="0" applyFill="1" applyAlignment="1" applyProtection="1"/>
    <xf numFmtId="0" fontId="44" fillId="3" borderId="10" xfId="0" applyFont="1" applyFill="1" applyBorder="1" applyAlignment="1" applyProtection="1">
      <alignment horizontal="center"/>
    </xf>
    <xf numFmtId="0" fontId="32" fillId="3" borderId="20" xfId="0" applyFont="1" applyFill="1" applyBorder="1" applyAlignment="1" applyProtection="1">
      <alignment horizontal="center" wrapText="1"/>
    </xf>
    <xf numFmtId="0" fontId="27" fillId="3" borderId="0" xfId="0" applyFont="1" applyFill="1" applyBorder="1" applyAlignment="1" applyProtection="1">
      <alignment horizontal="center"/>
    </xf>
    <xf numFmtId="0" fontId="39" fillId="3" borderId="0" xfId="0" applyFont="1" applyFill="1" applyBorder="1" applyAlignment="1" applyProtection="1">
      <alignment horizontal="center"/>
    </xf>
    <xf numFmtId="0" fontId="27" fillId="3" borderId="0" xfId="0" applyFont="1" applyFill="1" applyBorder="1" applyAlignment="1" applyProtection="1">
      <alignment horizontal="center"/>
      <protection locked="0"/>
    </xf>
    <xf numFmtId="0" fontId="0" fillId="3" borderId="0" xfId="0" applyFill="1" applyBorder="1" applyProtection="1">
      <protection locked="0"/>
    </xf>
    <xf numFmtId="0" fontId="61" fillId="0" borderId="22" xfId="0" applyFont="1" applyBorder="1" applyProtection="1">
      <protection locked="0"/>
    </xf>
    <xf numFmtId="0" fontId="5" fillId="3" borderId="0" xfId="0" applyFont="1" applyFill="1" applyBorder="1" applyAlignment="1" applyProtection="1">
      <alignment horizontal="center"/>
    </xf>
    <xf numFmtId="0" fontId="0" fillId="3" borderId="0" xfId="0" applyFill="1" applyBorder="1" applyAlignment="1" applyProtection="1">
      <alignment horizontal="left"/>
    </xf>
    <xf numFmtId="0" fontId="40" fillId="3" borderId="0" xfId="0" applyFont="1" applyFill="1" applyBorder="1" applyAlignment="1" applyProtection="1"/>
    <xf numFmtId="0" fontId="39" fillId="3" borderId="0" xfId="0" applyFont="1" applyFill="1" applyBorder="1" applyAlignment="1" applyProtection="1"/>
    <xf numFmtId="0" fontId="50" fillId="3" borderId="0" xfId="0" applyFont="1" applyFill="1" applyBorder="1" applyAlignment="1" applyProtection="1">
      <alignment horizontal="left"/>
    </xf>
    <xf numFmtId="0" fontId="0" fillId="3" borderId="23" xfId="0" applyFill="1" applyBorder="1" applyProtection="1"/>
    <xf numFmtId="0" fontId="0" fillId="12" borderId="24" xfId="0" applyFill="1" applyBorder="1" applyProtection="1"/>
    <xf numFmtId="0" fontId="0" fillId="0" borderId="25" xfId="0" applyBorder="1" applyAlignment="1" applyProtection="1"/>
    <xf numFmtId="0" fontId="0" fillId="12" borderId="25" xfId="0" applyFill="1" applyBorder="1" applyAlignment="1" applyProtection="1"/>
    <xf numFmtId="0" fontId="5" fillId="3" borderId="26"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left" vertical="center" wrapText="1"/>
    </xf>
    <xf numFmtId="0" fontId="5" fillId="3" borderId="27" xfId="0" applyFont="1" applyFill="1" applyBorder="1" applyAlignment="1" applyProtection="1">
      <alignment horizontal="left" vertical="center" wrapText="1"/>
    </xf>
    <xf numFmtId="44" fontId="4" fillId="3" borderId="28" xfId="35" applyFont="1" applyFill="1" applyBorder="1" applyAlignment="1" applyProtection="1">
      <alignment horizontal="left" vertical="center" wrapText="1"/>
    </xf>
    <xf numFmtId="43" fontId="4" fillId="3" borderId="29" xfId="28" applyFont="1" applyFill="1" applyBorder="1" applyAlignment="1" applyProtection="1">
      <alignment horizontal="center"/>
    </xf>
    <xf numFmtId="43" fontId="5" fillId="3" borderId="20" xfId="28" applyFont="1" applyFill="1" applyBorder="1" applyAlignment="1" applyProtection="1">
      <alignment horizontal="center"/>
    </xf>
    <xf numFmtId="43" fontId="4" fillId="3" borderId="6" xfId="28" applyFont="1" applyFill="1" applyBorder="1" applyAlignment="1" applyProtection="1">
      <alignment horizontal="center"/>
    </xf>
    <xf numFmtId="43" fontId="4" fillId="3" borderId="11" xfId="28" applyFont="1" applyFill="1" applyBorder="1" applyAlignment="1" applyProtection="1">
      <alignment horizontal="center"/>
    </xf>
    <xf numFmtId="43" fontId="5" fillId="3" borderId="30" xfId="28" applyFont="1" applyFill="1" applyBorder="1" applyAlignment="1" applyProtection="1">
      <alignment horizontal="center"/>
    </xf>
    <xf numFmtId="43" fontId="4" fillId="3" borderId="20" xfId="28" applyFont="1" applyFill="1" applyBorder="1" applyAlignment="1" applyProtection="1">
      <alignment horizontal="center"/>
    </xf>
    <xf numFmtId="43" fontId="5" fillId="3" borderId="21" xfId="28" applyFont="1" applyFill="1" applyBorder="1" applyAlignment="1" applyProtection="1">
      <alignment horizontal="center"/>
    </xf>
    <xf numFmtId="0" fontId="5" fillId="3" borderId="20" xfId="0" applyFont="1" applyFill="1" applyBorder="1" applyAlignment="1" applyProtection="1">
      <alignment horizontal="left" vertical="center" wrapText="1"/>
    </xf>
    <xf numFmtId="44" fontId="4" fillId="3" borderId="31" xfId="35" applyFont="1" applyFill="1" applyBorder="1" applyAlignment="1" applyProtection="1">
      <alignment horizontal="left" vertical="center" wrapText="1"/>
    </xf>
    <xf numFmtId="43" fontId="4" fillId="3" borderId="22" xfId="28" applyFont="1" applyFill="1" applyBorder="1" applyAlignment="1" applyProtection="1">
      <alignment horizontal="center"/>
    </xf>
    <xf numFmtId="5" fontId="0" fillId="3" borderId="28" xfId="0" applyNumberFormat="1" applyFill="1" applyBorder="1" applyAlignment="1" applyProtection="1">
      <alignment horizontal="left"/>
    </xf>
    <xf numFmtId="5" fontId="0" fillId="3" borderId="20" xfId="0" applyNumberFormat="1" applyFill="1" applyBorder="1" applyAlignment="1" applyProtection="1">
      <alignment horizontal="left"/>
    </xf>
    <xf numFmtId="5" fontId="0" fillId="3" borderId="31" xfId="0" applyNumberFormat="1" applyFill="1" applyBorder="1" applyAlignment="1" applyProtection="1">
      <alignment horizontal="left"/>
    </xf>
    <xf numFmtId="5" fontId="0" fillId="3" borderId="32" xfId="0" applyNumberFormat="1" applyFill="1" applyBorder="1" applyAlignment="1" applyProtection="1">
      <alignment horizontal="left"/>
    </xf>
    <xf numFmtId="5" fontId="0" fillId="3" borderId="33" xfId="0" applyNumberFormat="1" applyFill="1" applyBorder="1" applyAlignment="1" applyProtection="1">
      <alignment horizontal="left"/>
    </xf>
    <xf numFmtId="5" fontId="0" fillId="3" borderId="34" xfId="0" applyNumberFormat="1" applyFill="1" applyBorder="1" applyAlignment="1" applyProtection="1">
      <alignment horizontal="left"/>
    </xf>
    <xf numFmtId="0" fontId="0" fillId="3" borderId="35" xfId="0" applyFill="1" applyBorder="1" applyProtection="1"/>
    <xf numFmtId="5" fontId="0" fillId="3" borderId="0" xfId="0" applyNumberFormat="1" applyFill="1" applyBorder="1" applyAlignment="1" applyProtection="1">
      <alignment horizontal="left"/>
    </xf>
    <xf numFmtId="0" fontId="0" fillId="3" borderId="36" xfId="0" applyFill="1" applyBorder="1" applyProtection="1"/>
    <xf numFmtId="0" fontId="5" fillId="3" borderId="15" xfId="0" applyFont="1" applyFill="1" applyBorder="1" applyAlignment="1" applyProtection="1">
      <alignment horizontal="left" vertical="center" wrapText="1"/>
    </xf>
    <xf numFmtId="0" fontId="5" fillId="3" borderId="37" xfId="0" applyFont="1" applyFill="1" applyBorder="1" applyAlignment="1" applyProtection="1">
      <alignment horizontal="left" vertical="center" wrapText="1"/>
    </xf>
    <xf numFmtId="5" fontId="0" fillId="3" borderId="38" xfId="0" applyNumberFormat="1" applyFill="1" applyBorder="1" applyAlignment="1" applyProtection="1">
      <alignment horizontal="left"/>
    </xf>
    <xf numFmtId="5" fontId="0" fillId="3" borderId="39" xfId="0" applyNumberFormat="1" applyFill="1" applyBorder="1" applyAlignment="1" applyProtection="1">
      <alignment horizontal="left"/>
    </xf>
    <xf numFmtId="0" fontId="5" fillId="3" borderId="40" xfId="0" applyFont="1" applyFill="1" applyBorder="1" applyAlignment="1" applyProtection="1">
      <alignment horizontal="left" vertical="center" wrapText="1"/>
    </xf>
    <xf numFmtId="0" fontId="5" fillId="3" borderId="41" xfId="0" applyFont="1" applyFill="1" applyBorder="1" applyAlignment="1" applyProtection="1">
      <alignment horizontal="left" vertical="center" wrapText="1"/>
    </xf>
    <xf numFmtId="44" fontId="4" fillId="3" borderId="38" xfId="35" applyFont="1" applyFill="1" applyBorder="1" applyAlignment="1" applyProtection="1">
      <alignment horizontal="left" vertical="center" wrapText="1"/>
    </xf>
    <xf numFmtId="5" fontId="0" fillId="3" borderId="42" xfId="0" applyNumberFormat="1" applyFill="1" applyBorder="1" applyAlignment="1" applyProtection="1">
      <alignment horizontal="left"/>
    </xf>
    <xf numFmtId="5" fontId="0" fillId="3" borderId="43" xfId="0" applyNumberFormat="1" applyFill="1" applyBorder="1" applyAlignment="1" applyProtection="1">
      <alignment horizontal="left"/>
    </xf>
    <xf numFmtId="5" fontId="0" fillId="3" borderId="44" xfId="0" applyNumberFormat="1" applyFill="1" applyBorder="1" applyAlignment="1" applyProtection="1">
      <alignment horizontal="left"/>
    </xf>
    <xf numFmtId="0" fontId="5" fillId="3" borderId="45" xfId="0" applyFont="1" applyFill="1" applyBorder="1" applyProtection="1"/>
    <xf numFmtId="0" fontId="5" fillId="3" borderId="46" xfId="0" applyFont="1" applyFill="1" applyBorder="1" applyAlignment="1" applyProtection="1">
      <alignment wrapText="1"/>
    </xf>
    <xf numFmtId="0" fontId="5" fillId="3" borderId="47" xfId="0" applyFont="1" applyFill="1" applyBorder="1" applyAlignment="1" applyProtection="1">
      <alignment horizontal="center" wrapText="1"/>
    </xf>
    <xf numFmtId="0" fontId="5" fillId="3" borderId="6" xfId="0" applyFont="1" applyFill="1" applyBorder="1" applyAlignment="1" applyProtection="1">
      <alignment horizontal="center" wrapText="1"/>
    </xf>
    <xf numFmtId="0" fontId="5" fillId="3" borderId="21" xfId="0" applyFont="1" applyFill="1" applyBorder="1" applyAlignment="1" applyProtection="1">
      <alignment horizontal="center" wrapText="1"/>
    </xf>
    <xf numFmtId="0" fontId="0" fillId="3" borderId="48" xfId="0" applyFill="1" applyBorder="1" applyProtection="1"/>
    <xf numFmtId="0" fontId="0" fillId="3" borderId="49" xfId="0" applyFill="1" applyBorder="1" applyProtection="1"/>
    <xf numFmtId="0" fontId="57" fillId="3" borderId="5" xfId="0" applyFont="1" applyFill="1" applyBorder="1" applyProtection="1"/>
    <xf numFmtId="0" fontId="23" fillId="3" borderId="1" xfId="0" applyFont="1" applyFill="1" applyBorder="1" applyProtection="1"/>
    <xf numFmtId="0" fontId="23" fillId="3" borderId="8" xfId="0" applyFont="1" applyFill="1" applyBorder="1" applyProtection="1"/>
    <xf numFmtId="0" fontId="23" fillId="3" borderId="9" xfId="0" applyFont="1" applyFill="1" applyBorder="1" applyProtection="1"/>
    <xf numFmtId="170" fontId="23" fillId="3" borderId="0" xfId="28" applyNumberFormat="1" applyFont="1" applyFill="1" applyBorder="1" applyProtection="1"/>
    <xf numFmtId="0" fontId="23" fillId="3" borderId="0" xfId="0" applyFont="1" applyFill="1" applyBorder="1" applyAlignment="1" applyProtection="1">
      <alignment horizontal="right"/>
    </xf>
    <xf numFmtId="0" fontId="6" fillId="3" borderId="0" xfId="0" applyFont="1" applyFill="1" applyBorder="1" applyAlignment="1" applyProtection="1">
      <alignment horizontal="right"/>
    </xf>
    <xf numFmtId="170" fontId="6" fillId="3" borderId="50" xfId="0" applyNumberFormat="1" applyFont="1" applyFill="1" applyBorder="1" applyProtection="1"/>
    <xf numFmtId="10" fontId="23" fillId="3" borderId="0" xfId="0" applyNumberFormat="1" applyFont="1" applyFill="1" applyBorder="1" applyProtection="1"/>
    <xf numFmtId="3" fontId="23" fillId="3" borderId="0" xfId="0" applyNumberFormat="1" applyFont="1" applyFill="1" applyBorder="1" applyProtection="1"/>
    <xf numFmtId="5" fontId="23" fillId="3" borderId="0" xfId="0" applyNumberFormat="1" applyFont="1" applyFill="1" applyBorder="1" applyProtection="1"/>
    <xf numFmtId="0" fontId="45" fillId="3" borderId="0" xfId="0" applyFont="1" applyFill="1" applyBorder="1" applyProtection="1"/>
    <xf numFmtId="5" fontId="23" fillId="3" borderId="2" xfId="0" applyNumberFormat="1" applyFont="1" applyFill="1" applyBorder="1" applyProtection="1"/>
    <xf numFmtId="10" fontId="53" fillId="3" borderId="2" xfId="0" applyNumberFormat="1" applyFont="1" applyFill="1" applyBorder="1" applyAlignment="1" applyProtection="1">
      <alignment horizontal="right"/>
    </xf>
    <xf numFmtId="5" fontId="53" fillId="3" borderId="0" xfId="0" applyNumberFormat="1" applyFont="1" applyFill="1" applyBorder="1" applyProtection="1"/>
    <xf numFmtId="10" fontId="15" fillId="3" borderId="50" xfId="0" applyNumberFormat="1" applyFont="1" applyFill="1" applyBorder="1" applyAlignment="1" applyProtection="1">
      <alignment horizontal="right"/>
    </xf>
    <xf numFmtId="170" fontId="15" fillId="3" borderId="50" xfId="0" applyNumberFormat="1" applyFont="1" applyFill="1" applyBorder="1" applyProtection="1"/>
    <xf numFmtId="10" fontId="53" fillId="3" borderId="0" xfId="0" applyNumberFormat="1" applyFont="1" applyFill="1" applyBorder="1" applyProtection="1"/>
    <xf numFmtId="0" fontId="54" fillId="3" borderId="0" xfId="0" applyFont="1" applyFill="1" applyBorder="1" applyProtection="1"/>
    <xf numFmtId="0" fontId="67" fillId="3" borderId="0" xfId="0" applyFont="1" applyFill="1" applyBorder="1" applyProtection="1"/>
    <xf numFmtId="170" fontId="23" fillId="3" borderId="50" xfId="0" applyNumberFormat="1" applyFont="1" applyFill="1" applyBorder="1" applyProtection="1"/>
    <xf numFmtId="0" fontId="23" fillId="3" borderId="7" xfId="0" applyFont="1" applyFill="1" applyBorder="1" applyProtection="1"/>
    <xf numFmtId="0" fontId="23" fillId="3" borderId="2" xfId="0" applyFont="1" applyFill="1" applyBorder="1" applyProtection="1"/>
    <xf numFmtId="0" fontId="23" fillId="3" borderId="10" xfId="0" applyFont="1" applyFill="1" applyBorder="1" applyProtection="1"/>
    <xf numFmtId="0" fontId="0" fillId="3" borderId="0" xfId="0" applyFill="1" applyBorder="1" applyAlignment="1" applyProtection="1">
      <alignment horizontal="center"/>
    </xf>
    <xf numFmtId="171" fontId="0" fillId="3" borderId="0" xfId="0" applyNumberFormat="1" applyFill="1" applyBorder="1" applyAlignment="1" applyProtection="1">
      <alignment horizontal="center"/>
    </xf>
    <xf numFmtId="0" fontId="0" fillId="3" borderId="0" xfId="0" applyFill="1" applyBorder="1" applyAlignment="1" applyProtection="1"/>
    <xf numFmtId="0" fontId="17" fillId="3" borderId="0" xfId="0" applyFont="1" applyFill="1" applyBorder="1" applyAlignment="1" applyProtection="1">
      <alignment horizontal="center"/>
    </xf>
    <xf numFmtId="0" fontId="60" fillId="3" borderId="0" xfId="0" applyFont="1" applyFill="1" applyBorder="1" applyAlignment="1" applyProtection="1">
      <alignment horizontal="left"/>
    </xf>
    <xf numFmtId="0" fontId="60" fillId="3" borderId="0" xfId="0" applyFont="1" applyFill="1" applyBorder="1" applyProtection="1"/>
    <xf numFmtId="0" fontId="32" fillId="3" borderId="0" xfId="0" applyFont="1" applyFill="1" applyBorder="1" applyProtection="1"/>
    <xf numFmtId="0" fontId="41" fillId="3" borderId="0" xfId="0" applyFont="1" applyFill="1" applyBorder="1" applyProtection="1"/>
    <xf numFmtId="0" fontId="32" fillId="3" borderId="6" xfId="0" applyFont="1" applyFill="1" applyBorder="1" applyAlignment="1" applyProtection="1">
      <alignment horizontal="center" wrapText="1"/>
    </xf>
    <xf numFmtId="0" fontId="23" fillId="0" borderId="0" xfId="0" applyFont="1" applyFill="1" applyBorder="1" applyProtection="1"/>
    <xf numFmtId="0" fontId="23" fillId="0" borderId="3" xfId="0" applyFont="1" applyFill="1" applyBorder="1" applyAlignment="1" applyProtection="1">
      <alignment horizontal="center" wrapText="1"/>
    </xf>
    <xf numFmtId="0" fontId="23" fillId="0" borderId="0" xfId="0" applyFont="1" applyFill="1" applyBorder="1" applyAlignment="1" applyProtection="1">
      <alignment horizontal="center" wrapText="1"/>
    </xf>
    <xf numFmtId="0" fontId="32" fillId="3" borderId="6" xfId="0" applyFont="1" applyFill="1" applyBorder="1" applyProtection="1"/>
    <xf numFmtId="0" fontId="65" fillId="3" borderId="20" xfId="0" applyFont="1" applyFill="1" applyBorder="1" applyAlignment="1" applyProtection="1">
      <alignment horizontal="center"/>
    </xf>
    <xf numFmtId="10" fontId="32" fillId="3" borderId="6" xfId="97" applyNumberFormat="1" applyFont="1" applyFill="1" applyBorder="1" applyAlignment="1" applyProtection="1">
      <alignment horizontal="center"/>
    </xf>
    <xf numFmtId="14" fontId="0" fillId="0" borderId="0" xfId="0" applyNumberFormat="1"/>
    <xf numFmtId="4" fontId="0" fillId="3" borderId="0" xfId="0" applyNumberFormat="1" applyFill="1" applyBorder="1" applyProtection="1"/>
    <xf numFmtId="43" fontId="9" fillId="3" borderId="0" xfId="28" applyFont="1" applyFill="1" applyBorder="1" applyProtection="1"/>
    <xf numFmtId="10" fontId="9" fillId="3" borderId="0" xfId="97" applyNumberFormat="1" applyFont="1" applyFill="1" applyBorder="1" applyProtection="1"/>
    <xf numFmtId="43" fontId="9" fillId="3" borderId="35" xfId="28" applyFont="1" applyFill="1" applyBorder="1" applyProtection="1"/>
    <xf numFmtId="10" fontId="9" fillId="3" borderId="35" xfId="97" applyNumberFormat="1" applyFont="1" applyFill="1" applyBorder="1" applyProtection="1"/>
    <xf numFmtId="0" fontId="0" fillId="3" borderId="15" xfId="0" applyFill="1" applyBorder="1" applyProtection="1"/>
    <xf numFmtId="43" fontId="5" fillId="3" borderId="0" xfId="28" applyFont="1" applyFill="1" applyBorder="1" applyAlignment="1" applyProtection="1">
      <alignment horizontal="center"/>
    </xf>
    <xf numFmtId="0" fontId="8" fillId="3" borderId="0" xfId="0" applyFont="1" applyFill="1" applyBorder="1" applyAlignment="1" applyProtection="1">
      <alignment horizontal="center"/>
    </xf>
    <xf numFmtId="3" fontId="0" fillId="3" borderId="0" xfId="0" applyNumberFormat="1" applyFill="1" applyBorder="1" applyProtection="1"/>
    <xf numFmtId="3" fontId="0" fillId="3" borderId="6" xfId="0" applyNumberFormat="1" applyFill="1" applyBorder="1" applyProtection="1"/>
    <xf numFmtId="4" fontId="0" fillId="3" borderId="6" xfId="0" applyNumberFormat="1" applyFill="1" applyBorder="1" applyProtection="1"/>
    <xf numFmtId="4" fontId="0" fillId="3" borderId="0" xfId="0" applyNumberFormat="1" applyFill="1" applyBorder="1" applyAlignment="1" applyProtection="1"/>
    <xf numFmtId="0" fontId="23" fillId="3" borderId="0" xfId="0" applyFont="1" applyFill="1" applyBorder="1" applyProtection="1">
      <protection locked="0"/>
    </xf>
    <xf numFmtId="0" fontId="0" fillId="3" borderId="3" xfId="0" applyFill="1" applyBorder="1" applyAlignment="1" applyProtection="1">
      <alignment horizontal="left"/>
    </xf>
    <xf numFmtId="0" fontId="15" fillId="3" borderId="0" xfId="58" applyFont="1" applyFill="1" applyBorder="1" applyAlignment="1" applyProtection="1">
      <alignment horizontal="left"/>
    </xf>
    <xf numFmtId="0" fontId="48" fillId="3" borderId="0" xfId="58" applyFont="1" applyFill="1" applyBorder="1" applyAlignment="1" applyProtection="1">
      <alignment horizontal="center"/>
    </xf>
    <xf numFmtId="0" fontId="21" fillId="3" borderId="0" xfId="59" applyFont="1" applyFill="1" applyBorder="1" applyAlignment="1" applyProtection="1">
      <alignment horizontal="center"/>
    </xf>
    <xf numFmtId="0" fontId="18" fillId="3" borderId="0" xfId="58" applyFont="1" applyFill="1" applyBorder="1" applyAlignment="1" applyProtection="1">
      <alignment horizontal="center"/>
    </xf>
    <xf numFmtId="0" fontId="8" fillId="3" borderId="0" xfId="60" applyFill="1" applyBorder="1" applyAlignment="1" applyProtection="1">
      <alignment horizontal="right" vertical="center" wrapText="1"/>
    </xf>
    <xf numFmtId="0" fontId="8" fillId="3" borderId="0" xfId="60" applyFill="1" applyBorder="1" applyAlignment="1" applyProtection="1">
      <alignment horizontal="center" vertical="center" wrapText="1"/>
    </xf>
    <xf numFmtId="0" fontId="15" fillId="3" borderId="0" xfId="58" applyFill="1" applyBorder="1" applyAlignment="1" applyProtection="1">
      <alignment horizontal="center"/>
    </xf>
    <xf numFmtId="0" fontId="0" fillId="13" borderId="2" xfId="0" applyFill="1" applyBorder="1" applyProtection="1"/>
    <xf numFmtId="0" fontId="0" fillId="13" borderId="8" xfId="0" applyFill="1" applyBorder="1" applyProtection="1"/>
    <xf numFmtId="0" fontId="15" fillId="3" borderId="0" xfId="58" applyFill="1" applyBorder="1" applyAlignment="1" applyProtection="1"/>
    <xf numFmtId="0" fontId="51" fillId="3" borderId="0" xfId="0" applyFont="1" applyFill="1" applyBorder="1" applyProtection="1"/>
    <xf numFmtId="0" fontId="70" fillId="3" borderId="2" xfId="0" applyFont="1" applyFill="1" applyBorder="1" applyAlignment="1" applyProtection="1"/>
    <xf numFmtId="15" fontId="71" fillId="3" borderId="2" xfId="0" applyNumberFormat="1" applyFont="1" applyFill="1" applyBorder="1" applyAlignment="1" applyProtection="1"/>
    <xf numFmtId="18" fontId="71" fillId="3" borderId="2" xfId="0" applyNumberFormat="1" applyFont="1" applyFill="1" applyBorder="1" applyAlignment="1" applyProtection="1"/>
    <xf numFmtId="0" fontId="71" fillId="3" borderId="2" xfId="0" applyFont="1" applyFill="1" applyBorder="1" applyAlignment="1" applyProtection="1"/>
    <xf numFmtId="4" fontId="11" fillId="3" borderId="6" xfId="0" applyNumberFormat="1" applyFont="1" applyFill="1" applyBorder="1" applyProtection="1"/>
    <xf numFmtId="0" fontId="0" fillId="3" borderId="0" xfId="0" applyFill="1" applyBorder="1"/>
    <xf numFmtId="0" fontId="23" fillId="7" borderId="0" xfId="0" applyFont="1" applyFill="1" applyBorder="1" applyAlignment="1" applyProtection="1"/>
    <xf numFmtId="0" fontId="22" fillId="3" borderId="0" xfId="0" applyFont="1" applyFill="1" applyBorder="1" applyAlignment="1" applyProtection="1">
      <alignment horizontal="left"/>
    </xf>
    <xf numFmtId="0" fontId="23" fillId="3" borderId="0" xfId="0" applyFont="1" applyFill="1" applyBorder="1" applyAlignment="1" applyProtection="1">
      <alignment horizontal="left"/>
    </xf>
    <xf numFmtId="0" fontId="73" fillId="3" borderId="0" xfId="0" applyFont="1" applyFill="1" applyBorder="1" applyAlignment="1" applyProtection="1">
      <alignment horizontal="left"/>
    </xf>
    <xf numFmtId="0" fontId="73" fillId="3" borderId="0" xfId="0" applyFont="1" applyFill="1" applyBorder="1" applyAlignment="1" applyProtection="1">
      <alignment horizontal="center"/>
    </xf>
    <xf numFmtId="0" fontId="0" fillId="0" borderId="0" xfId="0" applyFont="1"/>
    <xf numFmtId="0" fontId="23" fillId="3" borderId="0" xfId="0" applyFont="1" applyFill="1" applyBorder="1"/>
    <xf numFmtId="10" fontId="61" fillId="3" borderId="6" xfId="97" applyNumberFormat="1" applyFont="1" applyFill="1" applyBorder="1" applyAlignment="1" applyProtection="1">
      <alignment horizontal="center"/>
    </xf>
    <xf numFmtId="0" fontId="40" fillId="3" borderId="0" xfId="0" applyFont="1" applyFill="1" applyBorder="1" applyProtection="1"/>
    <xf numFmtId="10" fontId="61" fillId="3" borderId="6" xfId="97" applyNumberFormat="1" applyFont="1" applyFill="1" applyBorder="1" applyAlignment="1" applyProtection="1">
      <alignment horizontal="center" wrapText="1"/>
    </xf>
    <xf numFmtId="10" fontId="61" fillId="3" borderId="6" xfId="97" applyNumberFormat="1" applyFont="1" applyFill="1" applyBorder="1" applyProtection="1"/>
    <xf numFmtId="0" fontId="2" fillId="0" borderId="0" xfId="0" applyFont="1" applyBorder="1"/>
    <xf numFmtId="0" fontId="5" fillId="3" borderId="51" xfId="0" applyFont="1" applyFill="1" applyBorder="1" applyAlignment="1" applyProtection="1">
      <alignment horizontal="center" wrapText="1"/>
    </xf>
    <xf numFmtId="0" fontId="39" fillId="3" borderId="0" xfId="0" applyFont="1" applyFill="1" applyBorder="1" applyAlignment="1" applyProtection="1">
      <alignment horizontal="left"/>
    </xf>
    <xf numFmtId="0" fontId="23" fillId="3" borderId="3" xfId="0" applyFont="1" applyFill="1" applyBorder="1" applyAlignment="1" applyProtection="1">
      <alignment horizontal="left"/>
    </xf>
    <xf numFmtId="4" fontId="4" fillId="0" borderId="22" xfId="0" applyNumberFormat="1" applyFont="1" applyFill="1" applyBorder="1" applyProtection="1">
      <protection locked="0"/>
    </xf>
    <xf numFmtId="0" fontId="4" fillId="0" borderId="6" xfId="0" applyFont="1" applyBorder="1" applyAlignment="1" applyProtection="1">
      <protection locked="0"/>
    </xf>
    <xf numFmtId="4" fontId="11" fillId="0" borderId="6" xfId="0" applyNumberFormat="1" applyFont="1" applyFill="1" applyBorder="1" applyAlignment="1" applyProtection="1">
      <alignment horizontal="right"/>
      <protection locked="0"/>
    </xf>
    <xf numFmtId="4" fontId="11" fillId="0" borderId="20" xfId="0" applyNumberFormat="1" applyFont="1" applyFill="1" applyBorder="1" applyAlignment="1" applyProtection="1">
      <alignment horizontal="right"/>
      <protection locked="0"/>
    </xf>
    <xf numFmtId="4" fontId="11" fillId="0" borderId="21" xfId="0" applyNumberFormat="1" applyFont="1" applyFill="1" applyBorder="1" applyAlignment="1" applyProtection="1">
      <alignment horizontal="right"/>
      <protection locked="0"/>
    </xf>
    <xf numFmtId="0" fontId="4" fillId="0" borderId="52" xfId="0" applyFont="1" applyBorder="1" applyAlignment="1" applyProtection="1">
      <protection locked="0"/>
    </xf>
    <xf numFmtId="4" fontId="11" fillId="0" borderId="52" xfId="0" applyNumberFormat="1" applyFont="1" applyFill="1" applyBorder="1" applyAlignment="1" applyProtection="1">
      <alignment horizontal="right"/>
      <protection locked="0"/>
    </xf>
    <xf numFmtId="4" fontId="11" fillId="0" borderId="53" xfId="0" applyNumberFormat="1" applyFont="1" applyFill="1" applyBorder="1" applyAlignment="1" applyProtection="1">
      <alignment horizontal="right"/>
      <protection locked="0"/>
    </xf>
    <xf numFmtId="4" fontId="11" fillId="0" borderId="54" xfId="0" applyNumberFormat="1" applyFont="1" applyFill="1" applyBorder="1" applyAlignment="1" applyProtection="1">
      <alignment horizontal="right"/>
      <protection locked="0"/>
    </xf>
    <xf numFmtId="4" fontId="4" fillId="0" borderId="6" xfId="0" applyNumberFormat="1" applyFont="1" applyFill="1" applyBorder="1" applyProtection="1">
      <protection locked="0"/>
    </xf>
    <xf numFmtId="4" fontId="4" fillId="0" borderId="52" xfId="0" applyNumberFormat="1" applyFont="1" applyFill="1" applyBorder="1" applyProtection="1">
      <protection locked="0"/>
    </xf>
    <xf numFmtId="4" fontId="4" fillId="0" borderId="54" xfId="0" applyNumberFormat="1" applyFont="1" applyFill="1" applyBorder="1" applyProtection="1">
      <protection locked="0"/>
    </xf>
    <xf numFmtId="4" fontId="4" fillId="0" borderId="4" xfId="0" applyNumberFormat="1" applyFont="1" applyFill="1" applyBorder="1" applyProtection="1">
      <protection locked="0"/>
    </xf>
    <xf numFmtId="4" fontId="4" fillId="0" borderId="49" xfId="0" applyNumberFormat="1" applyFont="1" applyFill="1" applyBorder="1" applyProtection="1">
      <protection locked="0"/>
    </xf>
    <xf numFmtId="0" fontId="0" fillId="3" borderId="24" xfId="0" applyFill="1" applyBorder="1" applyProtection="1"/>
    <xf numFmtId="0" fontId="0" fillId="3" borderId="27" xfId="0" applyFill="1" applyBorder="1" applyProtection="1"/>
    <xf numFmtId="0" fontId="5" fillId="3" borderId="4" xfId="0" applyFont="1" applyFill="1" applyBorder="1" applyAlignment="1" applyProtection="1">
      <alignment horizontal="center"/>
    </xf>
    <xf numFmtId="0" fontId="5" fillId="3" borderId="4" xfId="0" applyFont="1" applyFill="1" applyBorder="1" applyAlignment="1" applyProtection="1">
      <alignment horizontal="center" vertical="center" wrapText="1"/>
    </xf>
    <xf numFmtId="0" fontId="5" fillId="3" borderId="48" xfId="0" applyFont="1" applyFill="1" applyBorder="1" applyProtection="1"/>
    <xf numFmtId="4" fontId="61" fillId="3" borderId="22" xfId="0" applyNumberFormat="1" applyFont="1" applyFill="1" applyBorder="1" applyProtection="1"/>
    <xf numFmtId="0" fontId="61" fillId="3" borderId="22" xfId="0" applyFont="1" applyFill="1" applyBorder="1" applyProtection="1"/>
    <xf numFmtId="0" fontId="65" fillId="3" borderId="0" xfId="0" applyFont="1" applyFill="1" applyBorder="1" applyAlignment="1" applyProtection="1">
      <alignment horizontal="center"/>
    </xf>
    <xf numFmtId="10" fontId="61" fillId="3" borderId="0" xfId="97" applyNumberFormat="1" applyFont="1" applyFill="1" applyBorder="1" applyAlignment="1" applyProtection="1">
      <alignment horizontal="center"/>
    </xf>
    <xf numFmtId="10" fontId="32" fillId="3" borderId="0" xfId="97" applyNumberFormat="1" applyFont="1" applyFill="1" applyBorder="1" applyAlignment="1" applyProtection="1">
      <alignment horizontal="center"/>
    </xf>
    <xf numFmtId="10" fontId="68" fillId="45" borderId="0" xfId="97" applyNumberFormat="1" applyFont="1" applyFill="1" applyBorder="1" applyAlignment="1" applyProtection="1">
      <alignment horizontal="center"/>
      <protection locked="0"/>
    </xf>
    <xf numFmtId="0" fontId="61" fillId="7" borderId="6" xfId="0" applyFont="1" applyFill="1" applyBorder="1" applyAlignment="1" applyProtection="1">
      <protection locked="0"/>
    </xf>
    <xf numFmtId="0" fontId="99" fillId="3" borderId="0" xfId="0" applyFont="1" applyFill="1" applyBorder="1" applyAlignment="1" applyProtection="1">
      <alignment horizontal="right"/>
    </xf>
    <xf numFmtId="0" fontId="0" fillId="0" borderId="0" xfId="0" applyAlignment="1">
      <alignment wrapText="1"/>
    </xf>
    <xf numFmtId="0" fontId="100" fillId="45" borderId="0" xfId="0" applyFont="1" applyFill="1" applyBorder="1" applyProtection="1"/>
    <xf numFmtId="0" fontId="0" fillId="3" borderId="3" xfId="0" applyFill="1" applyBorder="1" applyProtection="1">
      <protection locked="0"/>
    </xf>
    <xf numFmtId="0" fontId="101" fillId="3" borderId="3" xfId="0" applyFont="1" applyFill="1" applyBorder="1" applyProtection="1"/>
    <xf numFmtId="0" fontId="102" fillId="3" borderId="0" xfId="0" applyFont="1" applyFill="1" applyBorder="1" applyAlignment="1" applyProtection="1">
      <alignment horizontal="center"/>
    </xf>
    <xf numFmtId="0" fontId="101" fillId="3" borderId="5" xfId="0" applyFont="1" applyFill="1" applyBorder="1" applyProtection="1"/>
    <xf numFmtId="0" fontId="101" fillId="0" borderId="0" xfId="0" applyFont="1"/>
    <xf numFmtId="0" fontId="0" fillId="3" borderId="3" xfId="0" applyFont="1" applyFill="1" applyBorder="1" applyProtection="1"/>
    <xf numFmtId="0" fontId="0" fillId="3" borderId="5" xfId="0" applyFont="1" applyFill="1" applyBorder="1" applyProtection="1"/>
    <xf numFmtId="0" fontId="0" fillId="0" borderId="0" xfId="0" applyFont="1" applyAlignment="1">
      <alignment horizontal="right"/>
    </xf>
    <xf numFmtId="0" fontId="101" fillId="3" borderId="0" xfId="0" applyFont="1" applyFill="1" applyBorder="1" applyProtection="1"/>
    <xf numFmtId="0" fontId="103" fillId="3" borderId="0" xfId="0" applyFont="1" applyFill="1" applyBorder="1" applyProtection="1"/>
    <xf numFmtId="0" fontId="104" fillId="3" borderId="0" xfId="0" applyFont="1" applyFill="1" applyBorder="1" applyProtection="1"/>
    <xf numFmtId="0" fontId="103" fillId="3" borderId="3" xfId="0" applyFont="1" applyFill="1" applyBorder="1" applyProtection="1"/>
    <xf numFmtId="0" fontId="104" fillId="3" borderId="0" xfId="0" applyFont="1" applyFill="1" applyBorder="1" applyAlignment="1" applyProtection="1">
      <alignment horizontal="left"/>
    </xf>
    <xf numFmtId="3" fontId="103" fillId="3" borderId="0" xfId="0" applyNumberFormat="1" applyFont="1" applyFill="1" applyBorder="1" applyProtection="1"/>
    <xf numFmtId="0" fontId="103" fillId="3" borderId="5" xfId="0" applyFont="1" applyFill="1" applyBorder="1" applyProtection="1"/>
    <xf numFmtId="0" fontId="105" fillId="3" borderId="0" xfId="0" applyFont="1" applyFill="1" applyBorder="1" applyProtection="1"/>
    <xf numFmtId="3" fontId="103" fillId="3" borderId="2" xfId="0" applyNumberFormat="1" applyFont="1" applyFill="1" applyBorder="1" applyProtection="1"/>
    <xf numFmtId="0" fontId="106" fillId="3" borderId="0" xfId="0" applyFont="1" applyFill="1" applyBorder="1" applyProtection="1"/>
    <xf numFmtId="0" fontId="106" fillId="3" borderId="0" xfId="0" applyFont="1" applyFill="1" applyBorder="1" applyAlignment="1" applyProtection="1">
      <alignment horizontal="right"/>
    </xf>
    <xf numFmtId="3" fontId="106" fillId="3" borderId="55" xfId="0" applyNumberFormat="1" applyFont="1" applyFill="1" applyBorder="1" applyProtection="1"/>
    <xf numFmtId="3" fontId="107" fillId="3" borderId="55" xfId="0" applyNumberFormat="1" applyFont="1" applyFill="1" applyBorder="1" applyProtection="1"/>
    <xf numFmtId="0" fontId="108" fillId="3" borderId="0" xfId="0" applyFont="1" applyFill="1" applyBorder="1" applyProtection="1"/>
    <xf numFmtId="0" fontId="109" fillId="3" borderId="0" xfId="0" applyFont="1" applyFill="1" applyBorder="1" applyProtection="1"/>
    <xf numFmtId="3" fontId="0" fillId="0" borderId="20" xfId="0" applyNumberFormat="1" applyFill="1" applyBorder="1" applyProtection="1">
      <protection locked="0"/>
    </xf>
    <xf numFmtId="0" fontId="32" fillId="0" borderId="22" xfId="0" applyFont="1" applyBorder="1" applyAlignment="1" applyProtection="1">
      <alignment wrapText="1"/>
      <protection locked="0"/>
    </xf>
    <xf numFmtId="4" fontId="61" fillId="3" borderId="48" xfId="0" applyNumberFormat="1" applyFont="1" applyFill="1" applyBorder="1" applyAlignment="1" applyProtection="1">
      <alignment wrapText="1"/>
      <protection locked="0"/>
    </xf>
    <xf numFmtId="3" fontId="0" fillId="0" borderId="0" xfId="0" applyNumberFormat="1"/>
    <xf numFmtId="0" fontId="0" fillId="46" borderId="0" xfId="0" applyFill="1"/>
    <xf numFmtId="10" fontId="0" fillId="46" borderId="0" xfId="0" applyNumberFormat="1" applyFill="1"/>
    <xf numFmtId="0" fontId="0" fillId="47" borderId="0" xfId="0" applyFill="1"/>
    <xf numFmtId="0" fontId="61" fillId="0" borderId="40" xfId="0" applyFont="1" applyBorder="1"/>
    <xf numFmtId="10" fontId="0" fillId="0" borderId="0" xfId="0" applyNumberFormat="1"/>
    <xf numFmtId="0" fontId="0" fillId="47" borderId="3" xfId="0" applyFill="1" applyBorder="1" applyProtection="1"/>
    <xf numFmtId="0" fontId="60" fillId="47" borderId="0" xfId="0" applyFont="1" applyFill="1" applyBorder="1" applyProtection="1"/>
    <xf numFmtId="0" fontId="0" fillId="47" borderId="0" xfId="0" applyFill="1" applyBorder="1" applyProtection="1"/>
    <xf numFmtId="0" fontId="0" fillId="47" borderId="5" xfId="0" applyFill="1" applyBorder="1" applyProtection="1"/>
    <xf numFmtId="0" fontId="2" fillId="47" borderId="0" xfId="0" applyFont="1" applyFill="1"/>
    <xf numFmtId="0" fontId="62" fillId="47" borderId="0" xfId="0" applyFont="1" applyFill="1"/>
    <xf numFmtId="0" fontId="0" fillId="47" borderId="20" xfId="0" applyFill="1" applyBorder="1" applyProtection="1"/>
    <xf numFmtId="0" fontId="0" fillId="47" borderId="50" xfId="0" applyFill="1" applyBorder="1" applyProtection="1"/>
    <xf numFmtId="0" fontId="32" fillId="47" borderId="6" xfId="0" applyFont="1" applyFill="1" applyBorder="1" applyAlignment="1" applyProtection="1">
      <alignment horizontal="center" wrapText="1"/>
    </xf>
    <xf numFmtId="0" fontId="32" fillId="47" borderId="20" xfId="0" applyFont="1" applyFill="1" applyBorder="1" applyAlignment="1" applyProtection="1">
      <alignment horizontal="center" wrapText="1"/>
    </xf>
    <xf numFmtId="0" fontId="32" fillId="47" borderId="6" xfId="0" applyFont="1" applyFill="1" applyBorder="1" applyProtection="1"/>
    <xf numFmtId="0" fontId="65" fillId="47" borderId="20" xfId="0" applyFont="1" applyFill="1" applyBorder="1" applyAlignment="1" applyProtection="1">
      <alignment horizontal="center"/>
    </xf>
    <xf numFmtId="5" fontId="61" fillId="47" borderId="6" xfId="0" applyNumberFormat="1" applyFont="1" applyFill="1" applyBorder="1" applyAlignment="1" applyProtection="1"/>
    <xf numFmtId="5" fontId="110" fillId="47" borderId="6" xfId="0" applyNumberFormat="1" applyFont="1" applyFill="1" applyBorder="1" applyAlignment="1" applyProtection="1"/>
    <xf numFmtId="175" fontId="61" fillId="47" borderId="6" xfId="0" applyNumberFormat="1" applyFont="1" applyFill="1" applyBorder="1" applyAlignment="1" applyProtection="1"/>
    <xf numFmtId="168" fontId="61" fillId="47" borderId="6" xfId="0" applyNumberFormat="1" applyFont="1" applyFill="1" applyBorder="1"/>
    <xf numFmtId="10" fontId="61" fillId="47" borderId="6" xfId="97" applyNumberFormat="1" applyFont="1" applyFill="1" applyBorder="1" applyAlignment="1" applyProtection="1"/>
    <xf numFmtId="173" fontId="61" fillId="47" borderId="6" xfId="28" applyNumberFormat="1" applyFont="1" applyFill="1" applyBorder="1" applyAlignment="1" applyProtection="1"/>
    <xf numFmtId="2" fontId="61" fillId="47" borderId="6" xfId="97" applyNumberFormat="1" applyFont="1" applyFill="1" applyBorder="1"/>
    <xf numFmtId="5" fontId="111" fillId="47" borderId="6" xfId="0" applyNumberFormat="1" applyFont="1" applyFill="1" applyBorder="1" applyAlignment="1" applyProtection="1"/>
    <xf numFmtId="175" fontId="32" fillId="47" borderId="6" xfId="0" applyNumberFormat="1" applyFont="1" applyFill="1" applyBorder="1" applyAlignment="1" applyProtection="1">
      <alignment horizontal="right"/>
    </xf>
    <xf numFmtId="175" fontId="32" fillId="47" borderId="6" xfId="0" quotePrefix="1" applyNumberFormat="1" applyFont="1" applyFill="1" applyBorder="1" applyAlignment="1" applyProtection="1"/>
    <xf numFmtId="175" fontId="32" fillId="47" borderId="8" xfId="0" quotePrefix="1" applyNumberFormat="1" applyFont="1" applyFill="1" applyBorder="1" applyAlignment="1" applyProtection="1"/>
    <xf numFmtId="175" fontId="32" fillId="47" borderId="6" xfId="0" quotePrefix="1" applyNumberFormat="1" applyFont="1" applyFill="1" applyBorder="1" applyAlignment="1" applyProtection="1">
      <alignment horizontal="right"/>
    </xf>
    <xf numFmtId="10" fontId="112" fillId="47" borderId="6" xfId="97" quotePrefix="1" applyNumberFormat="1" applyFont="1" applyFill="1" applyBorder="1" applyAlignment="1" applyProtection="1"/>
    <xf numFmtId="10" fontId="112" fillId="47" borderId="0" xfId="97" quotePrefix="1" applyNumberFormat="1" applyFont="1" applyFill="1" applyBorder="1" applyAlignment="1" applyProtection="1"/>
    <xf numFmtId="0" fontId="101" fillId="47" borderId="0" xfId="0" applyFont="1" applyFill="1" applyBorder="1" applyProtection="1"/>
    <xf numFmtId="0" fontId="23" fillId="47" borderId="0" xfId="0" applyFont="1" applyFill="1" applyBorder="1"/>
    <xf numFmtId="5" fontId="61" fillId="47" borderId="6" xfId="0" applyNumberFormat="1" applyFont="1" applyFill="1" applyBorder="1"/>
    <xf numFmtId="173" fontId="61" fillId="47" borderId="20" xfId="28" applyNumberFormat="1" applyFont="1" applyFill="1" applyBorder="1" applyAlignment="1" applyProtection="1"/>
    <xf numFmtId="0" fontId="0" fillId="47" borderId="7" xfId="0" applyFill="1" applyBorder="1" applyProtection="1"/>
    <xf numFmtId="0" fontId="0" fillId="47" borderId="2" xfId="0" applyFill="1" applyBorder="1" applyProtection="1"/>
    <xf numFmtId="175" fontId="111" fillId="47" borderId="6" xfId="0" applyNumberFormat="1" applyFont="1" applyFill="1" applyBorder="1" applyAlignment="1" applyProtection="1">
      <alignment horizontal="right"/>
    </xf>
    <xf numFmtId="10" fontId="111" fillId="47" borderId="6" xfId="97" quotePrefix="1" applyNumberFormat="1" applyFont="1" applyFill="1" applyBorder="1" applyAlignment="1" applyProtection="1"/>
    <xf numFmtId="0" fontId="32" fillId="47" borderId="2" xfId="0" applyFont="1" applyFill="1" applyBorder="1" applyAlignment="1" applyProtection="1">
      <alignment horizontal="right"/>
    </xf>
    <xf numFmtId="10" fontId="32" fillId="47" borderId="6" xfId="97" quotePrefix="1" applyNumberFormat="1" applyFont="1" applyFill="1" applyBorder="1" applyAlignment="1" applyProtection="1"/>
    <xf numFmtId="0" fontId="32" fillId="47" borderId="2" xfId="0" applyFont="1" applyFill="1" applyBorder="1" applyAlignment="1" applyProtection="1">
      <alignment horizontal="left"/>
    </xf>
    <xf numFmtId="0" fontId="0" fillId="47" borderId="10" xfId="0" applyFill="1" applyBorder="1" applyProtection="1"/>
    <xf numFmtId="0" fontId="63" fillId="3" borderId="3" xfId="0" applyFont="1" applyFill="1" applyBorder="1" applyProtection="1"/>
    <xf numFmtId="3" fontId="75" fillId="3" borderId="6" xfId="28" applyNumberFormat="1" applyFont="1" applyFill="1" applyBorder="1" applyAlignment="1" applyProtection="1">
      <alignment vertical="center"/>
    </xf>
    <xf numFmtId="0" fontId="63" fillId="3" borderId="5" xfId="0" applyFont="1" applyFill="1" applyBorder="1" applyProtection="1"/>
    <xf numFmtId="4" fontId="63" fillId="0" borderId="0" xfId="0" applyNumberFormat="1" applyFont="1" applyProtection="1"/>
    <xf numFmtId="0" fontId="63" fillId="0" borderId="0" xfId="0" applyFont="1" applyProtection="1"/>
    <xf numFmtId="10" fontId="75" fillId="3" borderId="6" xfId="97" applyNumberFormat="1" applyFont="1" applyFill="1" applyBorder="1" applyAlignment="1" applyProtection="1">
      <alignment vertical="center"/>
    </xf>
    <xf numFmtId="2" fontId="75" fillId="3" borderId="6" xfId="97" applyNumberFormat="1" applyFont="1" applyFill="1" applyBorder="1" applyAlignment="1" applyProtection="1">
      <alignment vertical="center"/>
    </xf>
    <xf numFmtId="0" fontId="63" fillId="3" borderId="3" xfId="0" applyFont="1" applyFill="1" applyBorder="1"/>
    <xf numFmtId="0" fontId="63" fillId="3" borderId="0" xfId="0" applyFont="1" applyFill="1" applyBorder="1" applyProtection="1"/>
    <xf numFmtId="0" fontId="63" fillId="3" borderId="0" xfId="0" applyFont="1" applyFill="1" applyBorder="1" applyProtection="1">
      <protection locked="0"/>
    </xf>
    <xf numFmtId="0" fontId="32" fillId="3" borderId="22" xfId="0" applyFont="1" applyFill="1" applyBorder="1" applyProtection="1"/>
    <xf numFmtId="0" fontId="72" fillId="3" borderId="0" xfId="0" applyFont="1" applyFill="1" applyBorder="1" applyAlignment="1" applyProtection="1">
      <alignment horizontal="center"/>
    </xf>
    <xf numFmtId="0" fontId="0" fillId="0" borderId="6" xfId="0" applyFont="1" applyFill="1" applyBorder="1" applyProtection="1"/>
    <xf numFmtId="0" fontId="0" fillId="3" borderId="0" xfId="0" applyFont="1" applyFill="1" applyBorder="1" applyProtection="1"/>
    <xf numFmtId="176" fontId="61" fillId="47" borderId="6" xfId="0" applyNumberFormat="1" applyFont="1" applyFill="1" applyBorder="1" applyAlignment="1" applyProtection="1"/>
    <xf numFmtId="173" fontId="61" fillId="47" borderId="6" xfId="97" applyNumberFormat="1" applyFont="1" applyFill="1" applyBorder="1" applyAlignment="1" applyProtection="1"/>
    <xf numFmtId="0" fontId="65" fillId="47" borderId="0" xfId="0" applyFont="1" applyFill="1" applyBorder="1" applyAlignment="1" applyProtection="1">
      <alignment horizontal="center"/>
    </xf>
    <xf numFmtId="10" fontId="61" fillId="47" borderId="6" xfId="0" applyNumberFormat="1" applyFont="1" applyFill="1" applyBorder="1" applyAlignment="1" applyProtection="1"/>
    <xf numFmtId="0" fontId="32" fillId="47" borderId="0" xfId="0" applyFont="1" applyFill="1" applyBorder="1" applyProtection="1"/>
    <xf numFmtId="10" fontId="61" fillId="47" borderId="0" xfId="97" applyNumberFormat="1" applyFont="1" applyFill="1" applyBorder="1" applyAlignment="1" applyProtection="1">
      <alignment horizontal="center"/>
    </xf>
    <xf numFmtId="10" fontId="32" fillId="47" borderId="0" xfId="97" applyNumberFormat="1" applyFont="1" applyFill="1" applyBorder="1" applyAlignment="1" applyProtection="1">
      <alignment horizontal="center"/>
    </xf>
    <xf numFmtId="0" fontId="23" fillId="47" borderId="0" xfId="0" applyFont="1" applyFill="1" applyBorder="1" applyProtection="1"/>
    <xf numFmtId="0" fontId="8" fillId="3" borderId="8" xfId="0" applyFont="1" applyFill="1" applyBorder="1" applyAlignment="1" applyProtection="1">
      <alignment horizontal="center"/>
    </xf>
    <xf numFmtId="0" fontId="8" fillId="3" borderId="2" xfId="0" applyFont="1" applyFill="1" applyBorder="1" applyAlignment="1" applyProtection="1">
      <alignment horizontal="center"/>
    </xf>
    <xf numFmtId="3" fontId="75" fillId="3" borderId="6" xfId="97" applyNumberFormat="1" applyFont="1" applyFill="1" applyBorder="1" applyAlignment="1" applyProtection="1">
      <alignment vertical="center"/>
    </xf>
    <xf numFmtId="4" fontId="4" fillId="0" borderId="11" xfId="0" applyNumberFormat="1" applyFont="1" applyFill="1" applyBorder="1" applyProtection="1">
      <protection locked="0"/>
    </xf>
    <xf numFmtId="0" fontId="5" fillId="3" borderId="6" xfId="0" applyFont="1" applyFill="1" applyBorder="1" applyAlignment="1" applyProtection="1">
      <alignment wrapText="1"/>
    </xf>
    <xf numFmtId="4" fontId="4" fillId="0" borderId="56" xfId="0" applyNumberFormat="1" applyFont="1" applyFill="1" applyBorder="1" applyProtection="1">
      <protection locked="0"/>
    </xf>
    <xf numFmtId="3" fontId="0" fillId="0" borderId="49" xfId="0" applyNumberFormat="1" applyFill="1" applyBorder="1" applyProtection="1">
      <protection locked="0"/>
    </xf>
    <xf numFmtId="3" fontId="0" fillId="0" borderId="7" xfId="0" applyNumberFormat="1" applyFill="1" applyBorder="1" applyProtection="1">
      <protection locked="0"/>
    </xf>
    <xf numFmtId="3" fontId="0" fillId="48" borderId="20" xfId="0" applyNumberFormat="1" applyFill="1" applyBorder="1" applyProtection="1">
      <protection locked="0"/>
    </xf>
    <xf numFmtId="3" fontId="0" fillId="48" borderId="50" xfId="0" applyNumberFormat="1" applyFill="1" applyBorder="1" applyProtection="1">
      <protection locked="0"/>
    </xf>
    <xf numFmtId="3" fontId="0" fillId="48" borderId="11" xfId="0" applyNumberFormat="1" applyFill="1" applyBorder="1" applyProtection="1">
      <protection locked="0"/>
    </xf>
    <xf numFmtId="3" fontId="0" fillId="48" borderId="1" xfId="0" applyNumberFormat="1" applyFill="1" applyBorder="1" applyProtection="1">
      <protection locked="0"/>
    </xf>
    <xf numFmtId="3" fontId="0" fillId="48" borderId="8" xfId="0" applyNumberFormat="1" applyFill="1" applyBorder="1" applyProtection="1">
      <protection locked="0"/>
    </xf>
    <xf numFmtId="3" fontId="0" fillId="48" borderId="9" xfId="0" applyNumberFormat="1" applyFill="1" applyBorder="1" applyProtection="1">
      <protection locked="0"/>
    </xf>
    <xf numFmtId="3" fontId="0" fillId="48" borderId="7" xfId="0" applyNumberFormat="1" applyFill="1" applyBorder="1" applyProtection="1">
      <protection locked="0"/>
    </xf>
    <xf numFmtId="3" fontId="0" fillId="48" borderId="2" xfId="0" applyNumberFormat="1" applyFill="1" applyBorder="1" applyProtection="1">
      <protection locked="0"/>
    </xf>
    <xf numFmtId="3" fontId="0" fillId="48" borderId="10" xfId="0" applyNumberFormat="1" applyFill="1" applyBorder="1" applyProtection="1">
      <protection locked="0"/>
    </xf>
    <xf numFmtId="3" fontId="0" fillId="0" borderId="57" xfId="0" applyNumberFormat="1" applyFill="1" applyBorder="1" applyProtection="1">
      <protection locked="0"/>
    </xf>
    <xf numFmtId="0" fontId="0" fillId="3" borderId="58" xfId="0" applyFill="1" applyBorder="1" applyProtection="1"/>
    <xf numFmtId="4" fontId="32" fillId="48" borderId="59" xfId="0" applyNumberFormat="1" applyFont="1" applyFill="1" applyBorder="1" applyAlignment="1" applyProtection="1">
      <alignment wrapText="1"/>
      <protection locked="0"/>
    </xf>
    <xf numFmtId="0" fontId="23" fillId="3" borderId="0" xfId="0" applyFont="1" applyFill="1" applyBorder="1" applyAlignment="1" applyProtection="1">
      <alignment vertical="center"/>
    </xf>
    <xf numFmtId="0" fontId="23" fillId="3" borderId="0" xfId="0" applyFont="1" applyFill="1" applyBorder="1" applyAlignment="1" applyProtection="1">
      <alignment horizontal="left" vertical="center"/>
    </xf>
    <xf numFmtId="0" fontId="61" fillId="48" borderId="22" xfId="0" applyFont="1" applyFill="1" applyBorder="1" applyProtection="1">
      <protection locked="0"/>
    </xf>
    <xf numFmtId="10" fontId="32" fillId="3" borderId="6" xfId="97" quotePrefix="1" applyNumberFormat="1" applyFont="1" applyFill="1" applyBorder="1" applyAlignment="1" applyProtection="1">
      <alignment horizontal="center"/>
    </xf>
    <xf numFmtId="2" fontId="32" fillId="0" borderId="6" xfId="97" applyNumberFormat="1" applyFont="1" applyFill="1" applyBorder="1" applyAlignment="1" applyProtection="1">
      <alignment horizontal="center"/>
      <protection locked="0"/>
    </xf>
    <xf numFmtId="0" fontId="4" fillId="3" borderId="6" xfId="0" applyFont="1" applyFill="1" applyBorder="1" applyAlignment="1" applyProtection="1">
      <alignment horizontal="center" vertical="center" wrapText="1"/>
    </xf>
    <xf numFmtId="0" fontId="61" fillId="0" borderId="60" xfId="0" applyFont="1" applyBorder="1" applyProtection="1">
      <protection locked="0"/>
    </xf>
    <xf numFmtId="3" fontId="0" fillId="0" borderId="61" xfId="0" applyNumberFormat="1" applyFill="1" applyBorder="1" applyProtection="1">
      <protection locked="0"/>
    </xf>
    <xf numFmtId="3" fontId="0" fillId="0" borderId="62" xfId="0" applyNumberFormat="1" applyFill="1" applyBorder="1" applyProtection="1">
      <protection locked="0"/>
    </xf>
    <xf numFmtId="3" fontId="0" fillId="0" borderId="63" xfId="0" applyNumberFormat="1" applyFill="1" applyBorder="1" applyProtection="1">
      <protection locked="0"/>
    </xf>
    <xf numFmtId="0" fontId="32" fillId="12" borderId="64" xfId="0" applyFont="1" applyFill="1" applyBorder="1" applyAlignment="1" applyProtection="1">
      <protection locked="0"/>
    </xf>
    <xf numFmtId="3" fontId="32" fillId="12" borderId="2" xfId="0" applyNumberFormat="1" applyFont="1" applyFill="1" applyBorder="1" applyAlignment="1" applyProtection="1">
      <protection locked="0"/>
    </xf>
    <xf numFmtId="3" fontId="32" fillId="12" borderId="65" xfId="0" applyNumberFormat="1" applyFont="1" applyFill="1" applyBorder="1" applyAlignment="1" applyProtection="1">
      <protection locked="0"/>
    </xf>
    <xf numFmtId="0" fontId="32" fillId="0" borderId="60" xfId="0" applyFont="1" applyBorder="1" applyProtection="1">
      <protection locked="0"/>
    </xf>
    <xf numFmtId="0" fontId="5" fillId="3" borderId="57" xfId="0" applyFont="1" applyFill="1" applyBorder="1" applyAlignment="1" applyProtection="1">
      <alignment horizontal="center"/>
    </xf>
    <xf numFmtId="0" fontId="0" fillId="3" borderId="66" xfId="0" applyFill="1" applyBorder="1" applyProtection="1"/>
    <xf numFmtId="3" fontId="0" fillId="48" borderId="6" xfId="0" applyNumberFormat="1" applyFill="1" applyBorder="1" applyProtection="1">
      <protection locked="0"/>
    </xf>
    <xf numFmtId="0" fontId="0" fillId="3" borderId="47" xfId="0" applyFill="1" applyBorder="1" applyProtection="1"/>
    <xf numFmtId="0" fontId="0" fillId="3" borderId="63" xfId="0" applyFill="1" applyBorder="1" applyProtection="1"/>
    <xf numFmtId="3" fontId="0" fillId="48" borderId="49" xfId="0" applyNumberFormat="1" applyFill="1" applyBorder="1" applyProtection="1">
      <protection locked="0"/>
    </xf>
    <xf numFmtId="3" fontId="0" fillId="48" borderId="5" xfId="0" applyNumberFormat="1" applyFill="1" applyBorder="1" applyProtection="1">
      <protection locked="0"/>
    </xf>
    <xf numFmtId="3" fontId="0" fillId="3" borderId="4" xfId="0" applyNumberFormat="1" applyFill="1" applyBorder="1" applyProtection="1">
      <protection locked="0"/>
    </xf>
    <xf numFmtId="0" fontId="0" fillId="0" borderId="4" xfId="0" applyBorder="1"/>
    <xf numFmtId="3" fontId="0" fillId="49" borderId="50" xfId="0" applyNumberFormat="1" applyFill="1" applyBorder="1" applyProtection="1">
      <protection locked="0"/>
    </xf>
    <xf numFmtId="3" fontId="0" fillId="48" borderId="3" xfId="0" applyNumberFormat="1" applyFill="1" applyBorder="1" applyProtection="1">
      <protection locked="0"/>
    </xf>
    <xf numFmtId="3" fontId="0" fillId="49" borderId="4" xfId="0" applyNumberFormat="1" applyFill="1" applyBorder="1" applyProtection="1">
      <protection locked="0"/>
    </xf>
    <xf numFmtId="3" fontId="0" fillId="49" borderId="57" xfId="0" applyNumberFormat="1" applyFill="1" applyBorder="1" applyProtection="1">
      <protection locked="0"/>
    </xf>
    <xf numFmtId="174" fontId="0" fillId="49" borderId="49" xfId="0" applyNumberFormat="1" applyFill="1" applyBorder="1" applyProtection="1">
      <protection locked="0"/>
    </xf>
    <xf numFmtId="174" fontId="0" fillId="49" borderId="57" xfId="0" applyNumberFormat="1" applyFill="1" applyBorder="1" applyProtection="1">
      <protection locked="0"/>
    </xf>
    <xf numFmtId="0" fontId="32" fillId="3" borderId="22" xfId="0" applyFont="1" applyFill="1" applyBorder="1" applyAlignment="1" applyProtection="1">
      <alignment wrapText="1"/>
    </xf>
    <xf numFmtId="3" fontId="0" fillId="48" borderId="11" xfId="0" applyNumberFormat="1" applyFill="1" applyBorder="1" applyProtection="1"/>
    <xf numFmtId="3" fontId="0" fillId="0" borderId="7" xfId="0" applyNumberFormat="1" applyFill="1" applyBorder="1" applyProtection="1"/>
    <xf numFmtId="3" fontId="0" fillId="0" borderId="6" xfId="0" applyNumberFormat="1" applyFill="1" applyBorder="1" applyProtection="1"/>
    <xf numFmtId="3" fontId="0" fillId="3" borderId="49" xfId="0" applyNumberFormat="1" applyFill="1" applyBorder="1" applyProtection="1"/>
    <xf numFmtId="3" fontId="0" fillId="48" borderId="6" xfId="0" applyNumberFormat="1" applyFill="1" applyBorder="1" applyProtection="1"/>
    <xf numFmtId="3" fontId="0" fillId="0" borderId="11" xfId="0" applyNumberFormat="1" applyFill="1" applyBorder="1" applyProtection="1"/>
    <xf numFmtId="3" fontId="0" fillId="0" borderId="20" xfId="0" applyNumberFormat="1" applyFill="1" applyBorder="1" applyProtection="1"/>
    <xf numFmtId="4" fontId="32" fillId="3" borderId="20" xfId="0" applyNumberFormat="1" applyFont="1" applyFill="1" applyBorder="1" applyAlignment="1" applyProtection="1">
      <alignment wrapText="1"/>
    </xf>
    <xf numFmtId="4" fontId="32" fillId="3" borderId="20" xfId="0" applyNumberFormat="1" applyFont="1" applyFill="1" applyBorder="1" applyAlignment="1" applyProtection="1">
      <alignment horizontal="right" wrapText="1"/>
    </xf>
    <xf numFmtId="4" fontId="61" fillId="3" borderId="48" xfId="0" applyNumberFormat="1" applyFont="1" applyFill="1" applyBorder="1" applyAlignment="1" applyProtection="1">
      <alignment wrapText="1"/>
    </xf>
    <xf numFmtId="0" fontId="61" fillId="48" borderId="22" xfId="0" applyFont="1" applyFill="1" applyBorder="1" applyProtection="1"/>
    <xf numFmtId="0" fontId="61" fillId="0" borderId="22" xfId="0" applyFont="1" applyBorder="1" applyProtection="1"/>
    <xf numFmtId="0" fontId="61" fillId="0" borderId="22" xfId="0" applyFont="1" applyBorder="1" applyAlignment="1" applyProtection="1">
      <alignment wrapText="1"/>
    </xf>
    <xf numFmtId="0" fontId="32" fillId="3" borderId="22" xfId="0" applyFont="1" applyFill="1" applyBorder="1" applyProtection="1">
      <protection locked="0"/>
    </xf>
    <xf numFmtId="4" fontId="4" fillId="0" borderId="67" xfId="0" applyNumberFormat="1" applyFont="1" applyFill="1" applyBorder="1" applyProtection="1">
      <protection locked="0"/>
    </xf>
    <xf numFmtId="0" fontId="41" fillId="3" borderId="0" xfId="0" applyFont="1" applyFill="1" applyBorder="1" applyAlignment="1" applyProtection="1">
      <alignment horizontal="left"/>
    </xf>
    <xf numFmtId="173" fontId="101" fillId="47" borderId="0" xfId="28" applyNumberFormat="1" applyFont="1" applyFill="1" applyBorder="1" applyProtection="1"/>
    <xf numFmtId="0" fontId="101" fillId="47" borderId="0" xfId="0" applyFont="1" applyFill="1" applyBorder="1" applyAlignment="1" applyProtection="1">
      <alignment horizontal="right"/>
    </xf>
    <xf numFmtId="0" fontId="101" fillId="47" borderId="0" xfId="0" applyFont="1" applyFill="1" applyBorder="1" applyAlignment="1" applyProtection="1">
      <alignment horizontal="center"/>
    </xf>
    <xf numFmtId="175" fontId="101" fillId="47" borderId="0" xfId="0" applyNumberFormat="1" applyFont="1" applyFill="1" applyBorder="1" applyProtection="1"/>
    <xf numFmtId="173" fontId="101" fillId="0" borderId="0" xfId="28" applyNumberFormat="1" applyFont="1"/>
    <xf numFmtId="170" fontId="6" fillId="3" borderId="55" xfId="0" applyNumberFormat="1" applyFont="1" applyFill="1" applyBorder="1" applyProtection="1"/>
    <xf numFmtId="0" fontId="23" fillId="3" borderId="68" xfId="0" applyFont="1" applyFill="1" applyBorder="1" applyProtection="1"/>
    <xf numFmtId="4" fontId="75" fillId="3" borderId="6" xfId="97" applyNumberFormat="1" applyFont="1" applyFill="1" applyBorder="1" applyAlignment="1" applyProtection="1">
      <alignment vertical="center"/>
    </xf>
    <xf numFmtId="4" fontId="11" fillId="3" borderId="6" xfId="28" applyNumberFormat="1" applyFont="1" applyFill="1" applyBorder="1" applyProtection="1"/>
    <xf numFmtId="4" fontId="75" fillId="3" borderId="6" xfId="28" applyNumberFormat="1" applyFont="1" applyFill="1" applyBorder="1" applyAlignment="1" applyProtection="1">
      <alignment vertical="center"/>
    </xf>
    <xf numFmtId="0" fontId="23" fillId="3" borderId="5" xfId="0" applyFont="1" applyFill="1" applyBorder="1" applyAlignment="1" applyProtection="1">
      <alignment horizontal="left"/>
    </xf>
    <xf numFmtId="10" fontId="0" fillId="47" borderId="6" xfId="0" applyNumberFormat="1" applyFill="1" applyBorder="1" applyProtection="1"/>
    <xf numFmtId="4" fontId="0" fillId="49" borderId="50" xfId="0" applyNumberFormat="1" applyFill="1" applyBorder="1" applyProtection="1">
      <protection locked="0"/>
    </xf>
    <xf numFmtId="3" fontId="0" fillId="0" borderId="3" xfId="0" applyNumberFormat="1" applyFill="1" applyBorder="1" applyProtection="1">
      <protection locked="0"/>
    </xf>
    <xf numFmtId="4" fontId="0" fillId="0" borderId="20" xfId="0" applyNumberFormat="1" applyFill="1" applyBorder="1" applyProtection="1">
      <protection locked="0"/>
    </xf>
    <xf numFmtId="4" fontId="32" fillId="48" borderId="4" xfId="0" applyNumberFormat="1" applyFont="1" applyFill="1" applyBorder="1" applyAlignment="1" applyProtection="1">
      <alignment wrapText="1"/>
      <protection locked="0"/>
    </xf>
    <xf numFmtId="4" fontId="32" fillId="48" borderId="57" xfId="0" applyNumberFormat="1" applyFont="1" applyFill="1" applyBorder="1" applyAlignment="1" applyProtection="1">
      <alignment wrapText="1"/>
      <protection locked="0"/>
    </xf>
    <xf numFmtId="4" fontId="32" fillId="48" borderId="49" xfId="0" applyNumberFormat="1" applyFont="1" applyFill="1" applyBorder="1" applyAlignment="1" applyProtection="1">
      <alignment wrapText="1"/>
      <protection locked="0"/>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Continuous" vertical="center" wrapText="1"/>
    </xf>
    <xf numFmtId="0" fontId="65" fillId="47" borderId="11" xfId="0" applyFont="1" applyFill="1" applyBorder="1" applyAlignment="1" applyProtection="1">
      <alignment horizontal="center"/>
    </xf>
    <xf numFmtId="175" fontId="4" fillId="47" borderId="6" xfId="0" applyNumberFormat="1" applyFont="1" applyFill="1" applyBorder="1" applyAlignment="1" applyProtection="1"/>
    <xf numFmtId="0" fontId="32" fillId="12" borderId="69" xfId="0" applyFont="1" applyFill="1" applyBorder="1" applyAlignment="1" applyProtection="1">
      <protection locked="0"/>
    </xf>
    <xf numFmtId="3" fontId="32" fillId="12" borderId="70" xfId="0" applyNumberFormat="1" applyFont="1" applyFill="1" applyBorder="1" applyAlignment="1" applyProtection="1">
      <protection locked="0"/>
    </xf>
    <xf numFmtId="3" fontId="32" fillId="12" borderId="71" xfId="0" applyNumberFormat="1" applyFont="1" applyFill="1" applyBorder="1" applyAlignment="1" applyProtection="1">
      <protection locked="0"/>
    </xf>
    <xf numFmtId="0" fontId="32" fillId="0" borderId="29" xfId="0" applyFont="1" applyBorder="1" applyProtection="1">
      <protection locked="0"/>
    </xf>
    <xf numFmtId="0" fontId="32" fillId="3" borderId="29" xfId="0" applyFont="1" applyFill="1" applyBorder="1" applyProtection="1">
      <protection locked="0"/>
    </xf>
    <xf numFmtId="4" fontId="32" fillId="3" borderId="72" xfId="0" applyNumberFormat="1" applyFont="1" applyFill="1" applyBorder="1" applyAlignment="1" applyProtection="1">
      <alignment wrapText="1"/>
    </xf>
    <xf numFmtId="4" fontId="0" fillId="3" borderId="73" xfId="0" applyNumberFormat="1" applyFill="1" applyBorder="1" applyProtection="1"/>
    <xf numFmtId="4" fontId="0" fillId="3" borderId="56" xfId="0" applyNumberFormat="1" applyFill="1" applyBorder="1" applyProtection="1"/>
    <xf numFmtId="4" fontId="0" fillId="3" borderId="33" xfId="0" applyNumberFormat="1" applyFill="1" applyBorder="1" applyProtection="1"/>
    <xf numFmtId="4" fontId="0" fillId="3" borderId="74" xfId="0" applyNumberFormat="1" applyFill="1" applyBorder="1" applyProtection="1"/>
    <xf numFmtId="0" fontId="5" fillId="3" borderId="75" xfId="0" applyFont="1" applyFill="1" applyBorder="1" applyAlignment="1" applyProtection="1">
      <alignment horizontal="left" vertical="center" wrapText="1"/>
    </xf>
    <xf numFmtId="0" fontId="5" fillId="3" borderId="76" xfId="0" applyFont="1" applyFill="1" applyBorder="1" applyAlignment="1" applyProtection="1">
      <alignment horizontal="center" vertical="center" wrapText="1"/>
    </xf>
    <xf numFmtId="0" fontId="5" fillId="3" borderId="72" xfId="0" applyFont="1" applyFill="1" applyBorder="1" applyAlignment="1" applyProtection="1">
      <alignment horizontal="center" vertical="center" wrapText="1"/>
    </xf>
    <xf numFmtId="4" fontId="0" fillId="3" borderId="29" xfId="0" applyNumberFormat="1" applyFill="1" applyBorder="1" applyProtection="1"/>
    <xf numFmtId="4" fontId="0" fillId="0" borderId="30" xfId="0" applyNumberFormat="1" applyFill="1" applyBorder="1" applyProtection="1">
      <protection locked="0"/>
    </xf>
    <xf numFmtId="10" fontId="23" fillId="0" borderId="6" xfId="29" applyNumberFormat="1" applyFont="1" applyFill="1" applyBorder="1" applyProtection="1">
      <protection locked="0"/>
    </xf>
    <xf numFmtId="5" fontId="0" fillId="3" borderId="56" xfId="0" applyNumberFormat="1" applyFill="1" applyBorder="1" applyAlignment="1" applyProtection="1">
      <alignment horizontal="left"/>
    </xf>
    <xf numFmtId="4" fontId="0" fillId="0" borderId="56" xfId="0" applyNumberFormat="1" applyFill="1" applyBorder="1" applyProtection="1">
      <protection locked="0"/>
    </xf>
    <xf numFmtId="4" fontId="0" fillId="0" borderId="77" xfId="0" applyNumberFormat="1" applyFill="1" applyBorder="1" applyProtection="1">
      <protection locked="0"/>
    </xf>
    <xf numFmtId="3" fontId="0" fillId="0" borderId="56" xfId="0" applyNumberFormat="1" applyFill="1" applyBorder="1" applyProtection="1">
      <protection locked="0"/>
    </xf>
    <xf numFmtId="0" fontId="5" fillId="3" borderId="78" xfId="0" applyFont="1" applyFill="1" applyBorder="1" applyAlignment="1" applyProtection="1">
      <alignment horizontal="left" vertical="center" wrapText="1"/>
    </xf>
    <xf numFmtId="10" fontId="32" fillId="0" borderId="6" xfId="97" applyNumberFormat="1" applyFont="1" applyFill="1" applyBorder="1" applyAlignment="1" applyProtection="1">
      <alignment horizontal="center"/>
      <protection locked="0"/>
    </xf>
    <xf numFmtId="170" fontId="23" fillId="0" borderId="6" xfId="29" applyNumberFormat="1" applyFont="1" applyFill="1" applyBorder="1" applyProtection="1">
      <protection locked="0"/>
    </xf>
    <xf numFmtId="170" fontId="103" fillId="0" borderId="6" xfId="29" applyNumberFormat="1" applyFont="1" applyFill="1" applyBorder="1" applyProtection="1">
      <protection locked="0"/>
    </xf>
    <xf numFmtId="175" fontId="61" fillId="50" borderId="6" xfId="0" applyNumberFormat="1" applyFont="1" applyFill="1" applyBorder="1" applyAlignment="1" applyProtection="1"/>
    <xf numFmtId="10" fontId="68" fillId="0" borderId="6" xfId="97" applyNumberFormat="1" applyFont="1" applyFill="1" applyBorder="1" applyAlignment="1" applyProtection="1">
      <alignment horizontal="center"/>
      <protection locked="0"/>
    </xf>
    <xf numFmtId="172" fontId="11" fillId="7" borderId="6" xfId="29" applyNumberFormat="1" applyFont="1" applyFill="1" applyBorder="1" applyAlignment="1" applyProtection="1">
      <alignment vertical="center"/>
      <protection locked="0"/>
    </xf>
    <xf numFmtId="178" fontId="81" fillId="0" borderId="11" xfId="81" applyNumberFormat="1" applyBorder="1" applyAlignment="1">
      <alignment horizontal="center" vertical="center"/>
    </xf>
    <xf numFmtId="0" fontId="32" fillId="0" borderId="22" xfId="0" applyFont="1" applyBorder="1" applyProtection="1">
      <protection locked="0"/>
    </xf>
    <xf numFmtId="0" fontId="32" fillId="0" borderId="31" xfId="0" applyFont="1" applyFill="1" applyBorder="1" applyAlignment="1" applyProtection="1">
      <alignment wrapText="1"/>
      <protection locked="0"/>
    </xf>
    <xf numFmtId="0" fontId="32" fillId="0" borderId="31" xfId="0" applyFont="1" applyFill="1" applyBorder="1" applyAlignment="1" applyProtection="1">
      <alignment vertical="top" wrapText="1"/>
      <protection locked="0"/>
    </xf>
    <xf numFmtId="0" fontId="32" fillId="47" borderId="20" xfId="0" applyFont="1" applyFill="1" applyBorder="1" applyAlignment="1" applyProtection="1">
      <alignment horizontal="center" wrapText="1"/>
    </xf>
    <xf numFmtId="5" fontId="61" fillId="47" borderId="6" xfId="0" applyNumberFormat="1" applyFont="1" applyFill="1" applyBorder="1" applyAlignment="1" applyProtection="1"/>
    <xf numFmtId="175" fontId="61" fillId="47" borderId="6" xfId="0" applyNumberFormat="1" applyFont="1" applyFill="1" applyBorder="1" applyAlignment="1" applyProtection="1"/>
    <xf numFmtId="10" fontId="61" fillId="47" borderId="6" xfId="97" applyNumberFormat="1" applyFont="1" applyFill="1" applyBorder="1" applyAlignment="1" applyProtection="1"/>
    <xf numFmtId="0" fontId="5" fillId="3" borderId="79" xfId="0" applyFont="1" applyFill="1" applyBorder="1" applyAlignment="1" applyProtection="1">
      <alignment horizontal="center" vertical="center" wrapText="1"/>
    </xf>
    <xf numFmtId="0" fontId="5" fillId="3" borderId="49" xfId="0" applyFont="1" applyFill="1" applyBorder="1" applyAlignment="1" applyProtection="1">
      <alignment horizontal="left" vertical="center" wrapText="1"/>
    </xf>
    <xf numFmtId="5" fontId="0" fillId="3" borderId="6" xfId="0" applyNumberFormat="1" applyFill="1" applyBorder="1" applyAlignment="1" applyProtection="1">
      <alignment horizontal="left"/>
    </xf>
    <xf numFmtId="0" fontId="23" fillId="46" borderId="0" xfId="0" applyFont="1" applyFill="1" applyBorder="1" applyAlignment="1" applyProtection="1">
      <alignment horizontal="center" vertical="center" wrapText="1"/>
    </xf>
    <xf numFmtId="0" fontId="8" fillId="46" borderId="4" xfId="0" applyFont="1" applyFill="1" applyBorder="1" applyAlignment="1" applyProtection="1">
      <alignment horizontal="center" vertical="center" wrapText="1"/>
    </xf>
    <xf numFmtId="0" fontId="61" fillId="46" borderId="57" xfId="0" applyFont="1" applyFill="1" applyBorder="1" applyAlignment="1" applyProtection="1">
      <alignment horizontal="center" vertical="center" wrapText="1"/>
    </xf>
    <xf numFmtId="0" fontId="61" fillId="46" borderId="49" xfId="0" applyFont="1" applyFill="1" applyBorder="1" applyAlignment="1" applyProtection="1">
      <alignment horizontal="center" vertical="center" wrapText="1"/>
    </xf>
    <xf numFmtId="0" fontId="6" fillId="3" borderId="0" xfId="0" applyFont="1" applyFill="1" applyBorder="1" applyAlignment="1" applyProtection="1">
      <alignment horizontal="center"/>
    </xf>
    <xf numFmtId="3" fontId="0" fillId="0" borderId="4" xfId="0" applyNumberFormat="1" applyFill="1" applyBorder="1" applyProtection="1">
      <protection locked="0"/>
    </xf>
    <xf numFmtId="3" fontId="0" fillId="0" borderId="1" xfId="0" applyNumberFormat="1" applyFill="1" applyBorder="1" applyProtection="1">
      <protection locked="0"/>
    </xf>
    <xf numFmtId="3" fontId="0" fillId="50" borderId="6" xfId="0" applyNumberFormat="1" applyFill="1" applyBorder="1" applyProtection="1">
      <protection locked="0"/>
    </xf>
    <xf numFmtId="3" fontId="0" fillId="50" borderId="49" xfId="0" applyNumberFormat="1" applyFill="1" applyBorder="1" applyProtection="1">
      <protection locked="0"/>
    </xf>
    <xf numFmtId="3" fontId="0" fillId="50" borderId="6" xfId="0" applyNumberFormat="1" applyFill="1" applyBorder="1" applyProtection="1">
      <protection locked="0"/>
    </xf>
    <xf numFmtId="3" fontId="0" fillId="50" borderId="49" xfId="0" applyNumberFormat="1" applyFill="1" applyBorder="1" applyProtection="1">
      <protection locked="0"/>
    </xf>
    <xf numFmtId="4" fontId="0" fillId="0" borderId="79" xfId="0" applyNumberFormat="1" applyFill="1" applyBorder="1" applyProtection="1">
      <protection locked="0"/>
    </xf>
    <xf numFmtId="4" fontId="0" fillId="0" borderId="76" xfId="0" applyNumberFormat="1" applyFill="1" applyBorder="1" applyProtection="1">
      <protection locked="0"/>
    </xf>
    <xf numFmtId="0" fontId="5" fillId="3" borderId="79" xfId="0" applyFont="1" applyFill="1" applyBorder="1" applyAlignment="1" applyProtection="1">
      <alignment horizontal="center" wrapText="1"/>
    </xf>
    <xf numFmtId="0" fontId="5" fillId="3" borderId="76" xfId="0" applyFont="1" applyFill="1" applyBorder="1" applyAlignment="1" applyProtection="1">
      <alignment horizontal="center" wrapText="1"/>
    </xf>
    <xf numFmtId="0" fontId="0" fillId="3" borderId="37" xfId="0" applyFill="1" applyBorder="1" applyProtection="1"/>
    <xf numFmtId="4" fontId="4" fillId="0" borderId="30" xfId="0" applyNumberFormat="1" applyFont="1" applyFill="1" applyBorder="1" applyProtection="1">
      <protection locked="0"/>
    </xf>
    <xf numFmtId="4" fontId="4" fillId="0" borderId="80" xfId="0" applyNumberFormat="1" applyFont="1" applyFill="1" applyBorder="1" applyProtection="1">
      <protection locked="0"/>
    </xf>
    <xf numFmtId="4" fontId="4" fillId="0" borderId="77" xfId="0" applyNumberFormat="1" applyFont="1" applyFill="1" applyBorder="1" applyProtection="1">
      <protection locked="0"/>
    </xf>
    <xf numFmtId="4" fontId="4" fillId="0" borderId="81" xfId="0" applyNumberFormat="1" applyFont="1" applyFill="1" applyBorder="1" applyProtection="1">
      <protection locked="0"/>
    </xf>
    <xf numFmtId="0" fontId="73" fillId="50" borderId="0" xfId="0" applyFont="1" applyFill="1" applyAlignment="1">
      <alignment horizontal="left" vertical="center"/>
    </xf>
    <xf numFmtId="0" fontId="0" fillId="0" borderId="0" xfId="0" applyAlignment="1">
      <alignment horizontal="right"/>
    </xf>
    <xf numFmtId="0" fontId="16" fillId="46" borderId="0" xfId="61" applyFill="1"/>
    <xf numFmtId="0" fontId="73" fillId="46" borderId="0" xfId="0" applyFont="1" applyFill="1" applyAlignment="1">
      <alignment horizontal="left" vertical="center"/>
    </xf>
    <xf numFmtId="0" fontId="73" fillId="0" borderId="0" xfId="0" applyFont="1" applyFill="1" applyAlignment="1">
      <alignment horizontal="left" vertical="center"/>
    </xf>
    <xf numFmtId="0" fontId="113" fillId="0" borderId="0" xfId="0" applyFont="1" applyFill="1" applyAlignment="1">
      <alignment horizontal="left" vertical="center"/>
    </xf>
    <xf numFmtId="0" fontId="101" fillId="0" borderId="0" xfId="0" applyFont="1" applyFill="1"/>
    <xf numFmtId="0" fontId="73" fillId="51" borderId="0" xfId="0" applyFont="1" applyFill="1" applyAlignment="1">
      <alignment horizontal="left" vertical="center"/>
    </xf>
    <xf numFmtId="0" fontId="0" fillId="51" borderId="0" xfId="0" applyFill="1"/>
    <xf numFmtId="0" fontId="5" fillId="51" borderId="0" xfId="0" applyFont="1" applyFill="1" applyBorder="1" applyProtection="1"/>
    <xf numFmtId="0" fontId="4" fillId="51" borderId="0" xfId="0" applyFont="1" applyFill="1" applyBorder="1" applyProtection="1"/>
    <xf numFmtId="0" fontId="0" fillId="0" borderId="0" xfId="0" applyFont="1" applyAlignment="1">
      <alignment horizontal="left"/>
    </xf>
    <xf numFmtId="0" fontId="64" fillId="0" borderId="0" xfId="0" applyFont="1" applyAlignment="1">
      <alignment horizontal="left"/>
    </xf>
    <xf numFmtId="0" fontId="23" fillId="46" borderId="0" xfId="0" applyFont="1" applyFill="1" applyBorder="1" applyAlignment="1" applyProtection="1">
      <alignment horizontal="center" vertical="center" wrapText="1"/>
    </xf>
    <xf numFmtId="2" fontId="56" fillId="52" borderId="6" xfId="28" applyNumberFormat="1" applyFont="1" applyFill="1" applyBorder="1" applyAlignment="1" applyProtection="1">
      <alignment horizontal="center"/>
    </xf>
    <xf numFmtId="2" fontId="56" fillId="52" borderId="20" xfId="28" applyNumberFormat="1" applyFont="1" applyFill="1" applyBorder="1" applyAlignment="1" applyProtection="1">
      <alignment horizontal="center"/>
    </xf>
    <xf numFmtId="2" fontId="56" fillId="52" borderId="21" xfId="28" applyNumberFormat="1" applyFont="1" applyFill="1" applyBorder="1" applyAlignment="1" applyProtection="1">
      <alignment horizontal="center"/>
    </xf>
    <xf numFmtId="43" fontId="2" fillId="52" borderId="22" xfId="28" applyFont="1" applyFill="1" applyBorder="1" applyProtection="1"/>
    <xf numFmtId="10" fontId="2" fillId="52" borderId="21" xfId="97" applyNumberFormat="1" applyFont="1" applyFill="1" applyBorder="1" applyProtection="1"/>
    <xf numFmtId="10" fontId="2" fillId="52" borderId="20" xfId="97" applyNumberFormat="1" applyFont="1" applyFill="1" applyBorder="1" applyProtection="1"/>
    <xf numFmtId="43" fontId="2" fillId="52" borderId="6" xfId="28" applyFont="1" applyFill="1" applyBorder="1" applyProtection="1"/>
    <xf numFmtId="10" fontId="2" fillId="52" borderId="6" xfId="97" applyNumberFormat="1" applyFont="1" applyFill="1" applyBorder="1" applyProtection="1"/>
    <xf numFmtId="43" fontId="2" fillId="52" borderId="11" xfId="28" applyFont="1" applyFill="1" applyBorder="1" applyProtection="1"/>
    <xf numFmtId="43" fontId="2" fillId="52" borderId="67" xfId="28" applyFont="1" applyFill="1" applyBorder="1" applyProtection="1"/>
    <xf numFmtId="10" fontId="2" fillId="52" borderId="82" xfId="97" applyNumberFormat="1" applyFont="1" applyFill="1" applyBorder="1" applyProtection="1"/>
    <xf numFmtId="10" fontId="2" fillId="52" borderId="56" xfId="97" applyNumberFormat="1" applyFont="1" applyFill="1" applyBorder="1" applyProtection="1"/>
    <xf numFmtId="43" fontId="2" fillId="52" borderId="56" xfId="28" applyFont="1" applyFill="1" applyBorder="1" applyProtection="1"/>
    <xf numFmtId="43" fontId="2" fillId="52" borderId="83" xfId="28" applyFont="1" applyFill="1" applyBorder="1" applyProtection="1"/>
    <xf numFmtId="2" fontId="56" fillId="52" borderId="4" xfId="28" applyNumberFormat="1" applyFont="1" applyFill="1" applyBorder="1" applyAlignment="1" applyProtection="1">
      <alignment horizontal="center"/>
    </xf>
    <xf numFmtId="0" fontId="0" fillId="52" borderId="49" xfId="0" applyFill="1" applyBorder="1" applyProtection="1"/>
    <xf numFmtId="10" fontId="2" fillId="52" borderId="30" xfId="97" applyNumberFormat="1" applyFont="1" applyFill="1" applyBorder="1" applyProtection="1"/>
    <xf numFmtId="10" fontId="2" fillId="52" borderId="54" xfId="97" applyNumberFormat="1" applyFont="1" applyFill="1" applyBorder="1" applyProtection="1"/>
    <xf numFmtId="10" fontId="2" fillId="52" borderId="53" xfId="97" applyNumberFormat="1" applyFont="1" applyFill="1" applyBorder="1" applyProtection="1"/>
    <xf numFmtId="43" fontId="2" fillId="52" borderId="52" xfId="28" applyFont="1" applyFill="1" applyBorder="1" applyProtection="1"/>
    <xf numFmtId="10" fontId="2" fillId="52" borderId="52" xfId="97" applyNumberFormat="1" applyFont="1" applyFill="1" applyBorder="1" applyProtection="1"/>
    <xf numFmtId="43" fontId="2" fillId="52" borderId="84" xfId="28" applyFont="1" applyFill="1" applyBorder="1" applyProtection="1"/>
    <xf numFmtId="10" fontId="2" fillId="52" borderId="85" xfId="97" applyNumberFormat="1" applyFont="1" applyFill="1" applyBorder="1" applyProtection="1"/>
    <xf numFmtId="2" fontId="56" fillId="52" borderId="30" xfId="28" applyNumberFormat="1" applyFont="1" applyFill="1" applyBorder="1" applyAlignment="1" applyProtection="1">
      <alignment horizontal="center"/>
    </xf>
    <xf numFmtId="10" fontId="2" fillId="52" borderId="50" xfId="97" applyNumberFormat="1" applyFont="1" applyFill="1" applyBorder="1" applyProtection="1"/>
    <xf numFmtId="43" fontId="2" fillId="52" borderId="48" xfId="28" applyFont="1" applyFill="1" applyBorder="1" applyProtection="1"/>
    <xf numFmtId="2" fontId="0" fillId="0" borderId="0" xfId="0" applyNumberFormat="1" applyFill="1" applyAlignment="1">
      <alignment horizontal="right"/>
    </xf>
    <xf numFmtId="0" fontId="63" fillId="0" borderId="0" xfId="0" applyFont="1" applyFill="1"/>
    <xf numFmtId="2" fontId="0" fillId="0" borderId="0" xfId="0" applyNumberFormat="1" applyFill="1"/>
    <xf numFmtId="43" fontId="9" fillId="52" borderId="29" xfId="28" applyFont="1" applyFill="1" applyBorder="1" applyProtection="1"/>
    <xf numFmtId="10" fontId="9" fillId="52" borderId="20" xfId="97" applyNumberFormat="1" applyFont="1" applyFill="1" applyBorder="1" applyProtection="1"/>
    <xf numFmtId="10" fontId="9" fillId="52" borderId="6" xfId="97" applyNumberFormat="1" applyFont="1" applyFill="1" applyBorder="1" applyProtection="1"/>
    <xf numFmtId="43" fontId="9" fillId="52" borderId="11" xfId="28" applyFont="1" applyFill="1" applyBorder="1" applyProtection="1"/>
    <xf numFmtId="10" fontId="9" fillId="52" borderId="30" xfId="97" applyNumberFormat="1" applyFont="1" applyFill="1" applyBorder="1" applyProtection="1"/>
    <xf numFmtId="43" fontId="9" fillId="52" borderId="6" xfId="28" applyFont="1" applyFill="1" applyBorder="1" applyProtection="1"/>
    <xf numFmtId="10" fontId="9" fillId="52" borderId="21" xfId="97" applyNumberFormat="1" applyFont="1" applyFill="1" applyBorder="1" applyProtection="1"/>
    <xf numFmtId="43" fontId="9" fillId="52" borderId="86" xfId="28" applyFont="1" applyFill="1" applyBorder="1" applyProtection="1"/>
    <xf numFmtId="10" fontId="9" fillId="52" borderId="53" xfId="97" applyNumberFormat="1" applyFont="1" applyFill="1" applyBorder="1" applyProtection="1"/>
    <xf numFmtId="10" fontId="9" fillId="52" borderId="52" xfId="97" applyNumberFormat="1" applyFont="1" applyFill="1" applyBorder="1" applyProtection="1"/>
    <xf numFmtId="43" fontId="9" fillId="52" borderId="84" xfId="28" applyFont="1" applyFill="1" applyBorder="1" applyProtection="1"/>
    <xf numFmtId="10" fontId="9" fillId="52" borderId="85" xfId="97" applyNumberFormat="1" applyFont="1" applyFill="1" applyBorder="1" applyProtection="1"/>
    <xf numFmtId="43" fontId="9" fillId="52" borderId="52" xfId="28" applyFont="1" applyFill="1" applyBorder="1" applyProtection="1"/>
    <xf numFmtId="43" fontId="9" fillId="52" borderId="9" xfId="28" applyFont="1" applyFill="1" applyBorder="1" applyProtection="1"/>
    <xf numFmtId="10" fontId="9" fillId="52" borderId="1" xfId="97" applyNumberFormat="1" applyFont="1" applyFill="1" applyBorder="1" applyProtection="1"/>
    <xf numFmtId="43" fontId="9" fillId="52" borderId="4" xfId="28" applyFont="1" applyFill="1" applyBorder="1" applyProtection="1"/>
    <xf numFmtId="10" fontId="9" fillId="52" borderId="87" xfId="97" applyNumberFormat="1" applyFont="1" applyFill="1" applyBorder="1" applyProtection="1"/>
    <xf numFmtId="10" fontId="9" fillId="52" borderId="54" xfId="97" applyNumberFormat="1" applyFont="1" applyFill="1" applyBorder="1" applyProtection="1"/>
    <xf numFmtId="5" fontId="0" fillId="52" borderId="6" xfId="0" applyNumberFormat="1" applyFill="1" applyBorder="1" applyAlignment="1" applyProtection="1">
      <alignment horizontal="left"/>
    </xf>
    <xf numFmtId="5" fontId="0" fillId="52" borderId="56" xfId="0" applyNumberFormat="1" applyFill="1" applyBorder="1" applyAlignment="1" applyProtection="1">
      <alignment horizontal="left"/>
    </xf>
    <xf numFmtId="43" fontId="9" fillId="52" borderId="88" xfId="28" applyFont="1" applyFill="1" applyBorder="1" applyProtection="1"/>
    <xf numFmtId="10" fontId="9" fillId="52" borderId="80" xfId="97" applyNumberFormat="1" applyFont="1" applyFill="1" applyBorder="1" applyProtection="1"/>
    <xf numFmtId="5" fontId="0" fillId="52" borderId="6" xfId="0" applyNumberFormat="1" applyFill="1" applyBorder="1" applyAlignment="1" applyProtection="1">
      <alignment horizontal="right"/>
    </xf>
    <xf numFmtId="5" fontId="0" fillId="52" borderId="56" xfId="0" applyNumberFormat="1" applyFill="1" applyBorder="1" applyAlignment="1" applyProtection="1">
      <alignment horizontal="right"/>
    </xf>
    <xf numFmtId="10" fontId="9" fillId="52" borderId="4" xfId="97" applyNumberFormat="1" applyFont="1" applyFill="1" applyBorder="1" applyProtection="1"/>
    <xf numFmtId="2" fontId="56" fillId="52" borderId="80" xfId="28" applyNumberFormat="1" applyFont="1" applyFill="1" applyBorder="1" applyAlignment="1" applyProtection="1">
      <alignment horizontal="center"/>
    </xf>
    <xf numFmtId="4" fontId="0" fillId="52" borderId="6" xfId="0" applyNumberFormat="1" applyFill="1" applyBorder="1" applyProtection="1"/>
    <xf numFmtId="4" fontId="0" fillId="52" borderId="56" xfId="0" applyNumberFormat="1" applyFill="1" applyBorder="1" applyProtection="1"/>
    <xf numFmtId="0" fontId="23" fillId="53" borderId="0" xfId="0" applyFont="1" applyFill="1" applyBorder="1" applyAlignment="1" applyProtection="1">
      <alignment horizontal="center" vertical="center" wrapText="1"/>
    </xf>
    <xf numFmtId="3" fontId="63" fillId="52" borderId="6" xfId="0" applyNumberFormat="1" applyFont="1" applyFill="1" applyBorder="1" applyAlignment="1" applyProtection="1">
      <alignment horizontal="center"/>
    </xf>
    <xf numFmtId="3" fontId="63" fillId="52" borderId="11" xfId="0" applyNumberFormat="1" applyFont="1" applyFill="1" applyBorder="1" applyAlignment="1" applyProtection="1">
      <alignment horizontal="center"/>
    </xf>
    <xf numFmtId="2" fontId="5" fillId="52" borderId="49" xfId="0" applyNumberFormat="1" applyFont="1" applyFill="1" applyBorder="1" applyAlignment="1" applyProtection="1">
      <alignment horizontal="center" vertical="center" wrapText="1"/>
    </xf>
    <xf numFmtId="0" fontId="5" fillId="52" borderId="7" xfId="0" applyFont="1" applyFill="1" applyBorder="1" applyAlignment="1" applyProtection="1">
      <alignment horizontal="center" vertical="center" wrapText="1"/>
    </xf>
    <xf numFmtId="3" fontId="63" fillId="52" borderId="6" xfId="0" applyNumberFormat="1" applyFont="1" applyFill="1" applyBorder="1" applyProtection="1"/>
    <xf numFmtId="177" fontId="63" fillId="52" borderId="21" xfId="0" applyNumberFormat="1" applyFont="1" applyFill="1" applyBorder="1" applyProtection="1">
      <protection locked="0"/>
    </xf>
    <xf numFmtId="3" fontId="0" fillId="52" borderId="21" xfId="0" applyNumberFormat="1" applyFill="1" applyBorder="1" applyProtection="1">
      <protection locked="0"/>
    </xf>
    <xf numFmtId="3" fontId="63" fillId="52" borderId="6" xfId="0" applyNumberFormat="1" applyFont="1" applyFill="1" applyBorder="1" applyProtection="1">
      <protection locked="0"/>
    </xf>
    <xf numFmtId="3" fontId="0" fillId="52" borderId="30" xfId="0" applyNumberFormat="1" applyFill="1" applyBorder="1" applyProtection="1">
      <protection locked="0"/>
    </xf>
    <xf numFmtId="3" fontId="0" fillId="52" borderId="49" xfId="0" applyNumberFormat="1" applyFill="1" applyBorder="1" applyProtection="1"/>
    <xf numFmtId="3" fontId="0" fillId="52" borderId="81" xfId="0" applyNumberFormat="1" applyFill="1" applyBorder="1" applyProtection="1"/>
    <xf numFmtId="3" fontId="0" fillId="52" borderId="30" xfId="0" applyNumberFormat="1" applyFill="1" applyBorder="1" applyProtection="1"/>
    <xf numFmtId="0" fontId="5" fillId="52" borderId="49" xfId="0" applyFont="1" applyFill="1" applyBorder="1" applyAlignment="1" applyProtection="1">
      <alignment horizontal="center" vertical="center" wrapText="1"/>
    </xf>
    <xf numFmtId="3" fontId="0" fillId="52" borderId="6" xfId="0" applyNumberFormat="1" applyFill="1" applyBorder="1" applyProtection="1"/>
    <xf numFmtId="10" fontId="0" fillId="52" borderId="6" xfId="0" applyNumberFormat="1" applyFill="1" applyBorder="1" applyProtection="1"/>
    <xf numFmtId="3" fontId="0" fillId="52" borderId="7" xfId="0" applyNumberFormat="1" applyFill="1" applyBorder="1" applyProtection="1"/>
    <xf numFmtId="3" fontId="0" fillId="52" borderId="0" xfId="0" applyNumberFormat="1" applyFill="1" applyBorder="1" applyProtection="1"/>
    <xf numFmtId="10" fontId="0" fillId="52" borderId="49" xfId="0" applyNumberFormat="1" applyFill="1" applyBorder="1" applyProtection="1"/>
    <xf numFmtId="0" fontId="61" fillId="54" borderId="22" xfId="0" applyFont="1" applyFill="1" applyBorder="1" applyProtection="1">
      <protection locked="0"/>
    </xf>
    <xf numFmtId="3" fontId="0" fillId="52" borderId="57" xfId="0" applyNumberFormat="1" applyFill="1" applyBorder="1" applyProtection="1"/>
    <xf numFmtId="3" fontId="0" fillId="52" borderId="3" xfId="0" applyNumberFormat="1" applyFill="1" applyBorder="1" applyProtection="1"/>
    <xf numFmtId="0" fontId="61" fillId="54" borderId="22" xfId="0" applyFont="1" applyFill="1" applyBorder="1" applyProtection="1"/>
    <xf numFmtId="10" fontId="0" fillId="52" borderId="7" xfId="0" applyNumberFormat="1" applyFill="1" applyBorder="1" applyProtection="1"/>
    <xf numFmtId="4" fontId="32" fillId="54" borderId="20" xfId="0" applyNumberFormat="1" applyFont="1" applyFill="1" applyBorder="1" applyAlignment="1" applyProtection="1">
      <alignment horizontal="right" wrapText="1"/>
      <protection locked="0"/>
    </xf>
    <xf numFmtId="4" fontId="0" fillId="52" borderId="10" xfId="0" applyNumberFormat="1" applyFill="1" applyBorder="1" applyProtection="1"/>
    <xf numFmtId="0" fontId="23" fillId="3" borderId="0" xfId="0" applyFont="1" applyFill="1" applyBorder="1" applyAlignment="1" applyProtection="1"/>
    <xf numFmtId="0" fontId="0" fillId="0" borderId="0" xfId="0" applyAlignment="1" applyProtection="1"/>
    <xf numFmtId="0" fontId="8" fillId="3" borderId="3" xfId="0" applyFont="1" applyFill="1" applyBorder="1" applyAlignment="1" applyProtection="1">
      <alignment horizontal="left"/>
    </xf>
    <xf numFmtId="0" fontId="0" fillId="0" borderId="0" xfId="0" applyAlignment="1">
      <alignment horizontal="left"/>
    </xf>
    <xf numFmtId="0" fontId="0" fillId="0" borderId="5" xfId="0" applyBorder="1" applyAlignment="1">
      <alignment horizontal="left"/>
    </xf>
    <xf numFmtId="0" fontId="44" fillId="3" borderId="0" xfId="0" applyFont="1" applyFill="1" applyBorder="1" applyAlignment="1" applyProtection="1"/>
    <xf numFmtId="0" fontId="23" fillId="3" borderId="0" xfId="0" applyFont="1" applyFill="1" applyBorder="1" applyAlignment="1" applyProtection="1">
      <alignment wrapText="1"/>
    </xf>
    <xf numFmtId="0" fontId="44" fillId="3" borderId="0" xfId="0" applyFont="1" applyFill="1" applyBorder="1" applyAlignment="1" applyProtection="1">
      <alignment wrapText="1"/>
    </xf>
    <xf numFmtId="0" fontId="0" fillId="0" borderId="0" xfId="0" applyAlignment="1">
      <alignment wrapText="1"/>
    </xf>
    <xf numFmtId="0" fontId="23" fillId="3" borderId="0" xfId="0" applyFont="1" applyFill="1" applyAlignment="1" applyProtection="1"/>
    <xf numFmtId="0" fontId="0" fillId="3" borderId="0" xfId="0" applyFill="1" applyAlignment="1" applyProtection="1"/>
    <xf numFmtId="0" fontId="0" fillId="0" borderId="0" xfId="0" applyFont="1" applyAlignment="1" applyProtection="1"/>
    <xf numFmtId="0" fontId="8" fillId="3" borderId="0" xfId="0" applyFont="1" applyFill="1" applyBorder="1" applyAlignment="1" applyProtection="1">
      <alignment horizontal="left"/>
    </xf>
    <xf numFmtId="0" fontId="44" fillId="3" borderId="0" xfId="0" applyFont="1" applyFill="1" applyBorder="1" applyAlignment="1" applyProtection="1">
      <alignment horizontal="left"/>
    </xf>
    <xf numFmtId="0" fontId="23" fillId="3" borderId="0" xfId="0" applyFont="1" applyFill="1" applyBorder="1" applyAlignment="1" applyProtection="1">
      <alignment vertical="center"/>
    </xf>
    <xf numFmtId="0" fontId="50" fillId="3" borderId="0" xfId="0" applyFont="1" applyFill="1" applyBorder="1" applyAlignment="1" applyProtection="1">
      <alignment vertical="center"/>
    </xf>
    <xf numFmtId="0" fontId="50" fillId="3" borderId="0" xfId="0" applyFont="1" applyFill="1" applyBorder="1" applyAlignment="1" applyProtection="1"/>
    <xf numFmtId="0" fontId="21" fillId="3" borderId="0" xfId="59" applyFont="1" applyFill="1" applyBorder="1" applyAlignment="1" applyProtection="1">
      <alignment horizontal="center"/>
    </xf>
    <xf numFmtId="0" fontId="39" fillId="3" borderId="0" xfId="58" applyFont="1" applyFill="1" applyBorder="1" applyAlignment="1" applyProtection="1">
      <alignment horizontal="center" wrapText="1"/>
    </xf>
    <xf numFmtId="0" fontId="39" fillId="3" borderId="0" xfId="58" applyFont="1" applyFill="1" applyBorder="1" applyAlignment="1" applyProtection="1">
      <alignment horizontal="center"/>
    </xf>
    <xf numFmtId="0" fontId="50" fillId="7" borderId="7" xfId="0" applyFont="1" applyFill="1" applyBorder="1" applyAlignment="1" applyProtection="1">
      <alignment horizontal="center" vertical="center" wrapText="1"/>
    </xf>
    <xf numFmtId="0" fontId="50" fillId="7" borderId="2" xfId="0" applyFont="1" applyFill="1" applyBorder="1" applyAlignment="1" applyProtection="1">
      <alignment horizontal="center" vertical="center" wrapText="1"/>
    </xf>
    <xf numFmtId="0" fontId="50" fillId="7" borderId="10" xfId="0" applyFont="1" applyFill="1" applyBorder="1" applyAlignment="1" applyProtection="1">
      <alignment horizontal="center" vertical="center" wrapText="1"/>
    </xf>
    <xf numFmtId="0" fontId="23" fillId="7" borderId="1" xfId="0" applyFont="1" applyFill="1" applyBorder="1" applyAlignment="1" applyProtection="1">
      <alignment horizontal="center" vertical="center" wrapText="1" readingOrder="1"/>
    </xf>
    <xf numFmtId="0" fontId="44" fillId="7" borderId="8" xfId="0" applyFont="1" applyFill="1" applyBorder="1" applyAlignment="1" applyProtection="1">
      <alignment horizontal="center" vertical="center" wrapText="1" readingOrder="1"/>
    </xf>
    <xf numFmtId="0" fontId="44" fillId="7" borderId="9" xfId="0" applyFont="1" applyFill="1" applyBorder="1" applyAlignment="1" applyProtection="1">
      <alignment horizontal="center" vertical="center" wrapText="1" readingOrder="1"/>
    </xf>
    <xf numFmtId="0" fontId="15" fillId="3" borderId="0" xfId="58" applyFill="1" applyBorder="1" applyAlignment="1" applyProtection="1">
      <alignment horizontal="center"/>
    </xf>
    <xf numFmtId="0" fontId="40" fillId="3" borderId="8" xfId="0" applyFont="1" applyFill="1" applyBorder="1" applyAlignment="1" applyProtection="1">
      <alignment horizontal="center"/>
    </xf>
    <xf numFmtId="0" fontId="15" fillId="3" borderId="0" xfId="0" applyFont="1" applyFill="1" applyBorder="1" applyAlignment="1" applyProtection="1">
      <alignment horizontal="center"/>
    </xf>
    <xf numFmtId="0" fontId="48" fillId="3" borderId="0" xfId="58" applyFont="1" applyFill="1" applyBorder="1" applyAlignment="1" applyProtection="1">
      <alignment horizontal="center"/>
    </xf>
    <xf numFmtId="0" fontId="22" fillId="56" borderId="20" xfId="0" applyFont="1" applyFill="1" applyBorder="1" applyAlignment="1" applyProtection="1">
      <protection locked="0"/>
    </xf>
    <xf numFmtId="0" fontId="0" fillId="56" borderId="50" xfId="0" applyFill="1" applyBorder="1" applyAlignment="1" applyProtection="1">
      <protection locked="0"/>
    </xf>
    <xf numFmtId="0" fontId="0" fillId="56" borderId="11" xfId="0" applyFill="1" applyBorder="1" applyAlignment="1" applyProtection="1">
      <protection locked="0"/>
    </xf>
    <xf numFmtId="0" fontId="15" fillId="3" borderId="0" xfId="0" applyFont="1" applyFill="1" applyBorder="1" applyAlignment="1" applyProtection="1">
      <alignment horizontal="left"/>
    </xf>
    <xf numFmtId="0" fontId="48" fillId="0" borderId="0" xfId="0" applyFont="1" applyBorder="1" applyAlignment="1">
      <alignment horizontal="left"/>
    </xf>
    <xf numFmtId="0" fontId="32" fillId="45" borderId="20" xfId="0" applyFont="1" applyFill="1" applyBorder="1" applyAlignment="1" applyProtection="1">
      <alignment horizontal="center" wrapText="1"/>
    </xf>
    <xf numFmtId="0" fontId="32" fillId="45" borderId="11" xfId="0" applyFont="1" applyFill="1" applyBorder="1" applyAlignment="1" applyProtection="1">
      <alignment horizontal="center" wrapText="1"/>
    </xf>
    <xf numFmtId="0" fontId="72" fillId="3" borderId="0" xfId="0" applyFont="1" applyFill="1" applyBorder="1" applyAlignment="1" applyProtection="1">
      <alignment horizontal="center"/>
    </xf>
    <xf numFmtId="0" fontId="0" fillId="0" borderId="0" xfId="0" applyAlignment="1">
      <alignment horizontal="center"/>
    </xf>
    <xf numFmtId="0" fontId="32" fillId="45" borderId="50" xfId="0" applyFont="1" applyFill="1" applyBorder="1" applyAlignment="1" applyProtection="1">
      <alignment horizontal="center" wrapText="1"/>
    </xf>
    <xf numFmtId="0" fontId="36" fillId="0" borderId="20" xfId="0" applyFont="1" applyFill="1" applyBorder="1" applyAlignment="1" applyProtection="1">
      <alignment horizontal="center"/>
      <protection locked="0"/>
    </xf>
    <xf numFmtId="0" fontId="0" fillId="0" borderId="50" xfId="0" applyBorder="1" applyAlignment="1" applyProtection="1">
      <protection locked="0"/>
    </xf>
    <xf numFmtId="0" fontId="0" fillId="0" borderId="11" xfId="0" applyBorder="1" applyAlignment="1" applyProtection="1">
      <protection locked="0"/>
    </xf>
    <xf numFmtId="0" fontId="22" fillId="0" borderId="20" xfId="0" applyFont="1" applyFill="1" applyBorder="1" applyAlignment="1" applyProtection="1">
      <protection locked="0"/>
    </xf>
    <xf numFmtId="0" fontId="19" fillId="3" borderId="0" xfId="0" applyFont="1" applyFill="1" applyBorder="1" applyAlignment="1" applyProtection="1">
      <alignment horizontal="center"/>
    </xf>
    <xf numFmtId="0" fontId="66" fillId="3" borderId="0" xfId="0" applyFont="1" applyFill="1" applyBorder="1" applyAlignment="1" applyProtection="1">
      <alignment horizontal="center"/>
    </xf>
    <xf numFmtId="0" fontId="22" fillId="56" borderId="20" xfId="0" applyFont="1" applyFill="1" applyBorder="1" applyAlignment="1" applyProtection="1">
      <alignment horizontal="left"/>
      <protection locked="0"/>
    </xf>
    <xf numFmtId="0" fontId="0" fillId="56" borderId="50" xfId="0" applyFill="1" applyBorder="1" applyAlignment="1" applyProtection="1">
      <alignment horizontal="left"/>
      <protection locked="0"/>
    </xf>
    <xf numFmtId="0" fontId="0" fillId="56" borderId="11" xfId="0" applyFill="1" applyBorder="1" applyAlignment="1" applyProtection="1">
      <alignment horizontal="left"/>
      <protection locked="0"/>
    </xf>
    <xf numFmtId="0" fontId="55" fillId="0" borderId="20" xfId="0" applyFont="1" applyFill="1" applyBorder="1" applyAlignment="1" applyProtection="1">
      <alignment horizontal="center"/>
      <protection locked="0"/>
    </xf>
    <xf numFmtId="0" fontId="55" fillId="0" borderId="11" xfId="0" applyFont="1" applyFill="1" applyBorder="1" applyAlignment="1" applyProtection="1">
      <alignment horizontal="center"/>
      <protection locked="0"/>
    </xf>
    <xf numFmtId="172" fontId="11" fillId="3" borderId="20" xfId="28" applyNumberFormat="1" applyFont="1" applyFill="1" applyBorder="1" applyAlignment="1" applyProtection="1"/>
    <xf numFmtId="172" fontId="11" fillId="3" borderId="11" xfId="28" applyNumberFormat="1" applyFont="1" applyFill="1" applyBorder="1" applyAlignment="1" applyProtection="1"/>
    <xf numFmtId="0" fontId="11" fillId="7" borderId="20" xfId="0" applyFont="1" applyFill="1" applyBorder="1" applyAlignment="1" applyProtection="1">
      <alignment vertical="justify"/>
      <protection locked="0"/>
    </xf>
    <xf numFmtId="0" fontId="11" fillId="7" borderId="50" xfId="0" applyFont="1" applyFill="1" applyBorder="1" applyAlignment="1" applyProtection="1">
      <alignment vertical="justify"/>
      <protection locked="0"/>
    </xf>
    <xf numFmtId="0" fontId="11" fillId="7" borderId="11" xfId="0" applyFont="1" applyFill="1" applyBorder="1" applyAlignment="1" applyProtection="1">
      <alignment vertical="justify"/>
      <protection locked="0"/>
    </xf>
    <xf numFmtId="0" fontId="8" fillId="3" borderId="20" xfId="0" applyFont="1" applyFill="1" applyBorder="1" applyAlignment="1" applyProtection="1">
      <alignment horizontal="center"/>
    </xf>
    <xf numFmtId="0" fontId="8" fillId="3" borderId="50" xfId="0" applyFont="1" applyFill="1" applyBorder="1" applyAlignment="1" applyProtection="1">
      <alignment horizontal="center"/>
    </xf>
    <xf numFmtId="0" fontId="8" fillId="3" borderId="11" xfId="0" applyFont="1" applyFill="1" applyBorder="1" applyAlignment="1" applyProtection="1">
      <alignment horizontal="center"/>
    </xf>
    <xf numFmtId="0" fontId="42" fillId="3" borderId="0" xfId="0" applyFont="1" applyFill="1" applyBorder="1" applyAlignment="1" applyProtection="1">
      <alignment horizontal="center"/>
    </xf>
    <xf numFmtId="0" fontId="6" fillId="3" borderId="0" xfId="0" applyFont="1" applyFill="1" applyBorder="1" applyAlignment="1" applyProtection="1">
      <alignment horizontal="center" wrapText="1"/>
    </xf>
    <xf numFmtId="0" fontId="40" fillId="3" borderId="0" xfId="0" applyFont="1" applyFill="1" applyBorder="1" applyAlignment="1" applyProtection="1">
      <alignment horizontal="center"/>
    </xf>
    <xf numFmtId="0" fontId="24" fillId="3" borderId="0" xfId="0" applyFont="1" applyFill="1" applyBorder="1" applyAlignment="1" applyProtection="1">
      <alignment horizontal="center"/>
    </xf>
    <xf numFmtId="0" fontId="33" fillId="3" borderId="0" xfId="0" applyFont="1" applyFill="1" applyBorder="1" applyAlignment="1" applyProtection="1">
      <alignment horizontal="center"/>
    </xf>
    <xf numFmtId="0" fontId="28" fillId="3" borderId="20" xfId="0" applyFont="1" applyFill="1" applyBorder="1" applyAlignment="1" applyProtection="1">
      <alignment horizontal="center" vertical="center" wrapText="1"/>
    </xf>
    <xf numFmtId="0" fontId="28" fillId="3" borderId="50" xfId="0" applyFont="1" applyFill="1" applyBorder="1" applyAlignment="1" applyProtection="1">
      <alignment horizontal="center" vertical="center" wrapText="1"/>
    </xf>
    <xf numFmtId="0" fontId="28" fillId="3" borderId="11" xfId="0" applyFont="1" applyFill="1" applyBorder="1" applyAlignment="1" applyProtection="1">
      <alignment horizontal="center" vertical="center" wrapText="1"/>
    </xf>
    <xf numFmtId="172" fontId="36" fillId="3" borderId="20" xfId="28" applyNumberFormat="1" applyFont="1" applyFill="1" applyBorder="1" applyAlignment="1" applyProtection="1"/>
    <xf numFmtId="172" fontId="36" fillId="3" borderId="11" xfId="28" applyNumberFormat="1" applyFont="1" applyFill="1" applyBorder="1" applyAlignment="1" applyProtection="1"/>
    <xf numFmtId="170" fontId="22" fillId="0" borderId="20" xfId="28" applyNumberFormat="1" applyFont="1" applyFill="1" applyBorder="1" applyAlignment="1" applyProtection="1">
      <alignment horizontal="center"/>
      <protection locked="0"/>
    </xf>
    <xf numFmtId="170" fontId="22" fillId="0" borderId="11" xfId="28" applyNumberFormat="1" applyFont="1" applyFill="1" applyBorder="1" applyAlignment="1" applyProtection="1">
      <alignment horizontal="center"/>
      <protection locked="0"/>
    </xf>
    <xf numFmtId="170" fontId="36" fillId="3" borderId="20" xfId="28" applyNumberFormat="1" applyFont="1" applyFill="1" applyBorder="1" applyAlignment="1" applyProtection="1">
      <alignment horizontal="center"/>
    </xf>
    <xf numFmtId="170" fontId="36" fillId="3" borderId="11" xfId="28" applyNumberFormat="1" applyFont="1" applyFill="1" applyBorder="1" applyAlignment="1" applyProtection="1">
      <alignment horizontal="center"/>
    </xf>
    <xf numFmtId="0" fontId="18" fillId="3" borderId="0" xfId="0" applyFont="1" applyFill="1" applyBorder="1" applyAlignment="1" applyProtection="1">
      <alignment horizontal="center"/>
    </xf>
    <xf numFmtId="0" fontId="39" fillId="3"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39" fillId="3" borderId="0" xfId="0" applyFont="1" applyFill="1" applyBorder="1" applyAlignment="1" applyProtection="1"/>
    <xf numFmtId="0" fontId="38" fillId="3" borderId="0" xfId="0" applyFont="1" applyFill="1" applyBorder="1" applyAlignment="1" applyProtection="1">
      <alignment horizontal="center"/>
    </xf>
    <xf numFmtId="0" fontId="8" fillId="3" borderId="20" xfId="0" applyFont="1" applyFill="1" applyBorder="1" applyAlignment="1" applyProtection="1">
      <alignment horizontal="center" vertical="top"/>
    </xf>
    <xf numFmtId="0" fontId="35" fillId="3" borderId="50" xfId="0" applyFont="1" applyFill="1" applyBorder="1" applyAlignment="1" applyProtection="1">
      <alignment horizontal="center" vertical="top"/>
    </xf>
    <xf numFmtId="0" fontId="35" fillId="3" borderId="11" xfId="0" applyFont="1" applyFill="1" applyBorder="1" applyAlignment="1" applyProtection="1">
      <alignment horizontal="center" vertical="top"/>
    </xf>
    <xf numFmtId="0" fontId="39" fillId="3" borderId="0" xfId="0" applyFont="1" applyFill="1" applyBorder="1" applyAlignment="1" applyProtection="1">
      <alignment horizontal="center"/>
    </xf>
    <xf numFmtId="0" fontId="41" fillId="3" borderId="0" xfId="0" applyFont="1" applyFill="1" applyBorder="1" applyAlignment="1" applyProtection="1">
      <alignment horizontal="center"/>
    </xf>
    <xf numFmtId="0" fontId="5" fillId="3" borderId="64"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65" xfId="0" applyFont="1" applyFill="1" applyBorder="1" applyAlignment="1" applyProtection="1">
      <alignment horizontal="center" vertical="center" wrapText="1"/>
    </xf>
    <xf numFmtId="0" fontId="5" fillId="3" borderId="93" xfId="0" applyFont="1" applyFill="1" applyBorder="1" applyAlignment="1" applyProtection="1">
      <alignment horizontal="center" vertical="center" wrapText="1"/>
    </xf>
    <xf numFmtId="0" fontId="5" fillId="3" borderId="94" xfId="0" applyFont="1" applyFill="1" applyBorder="1" applyAlignment="1" applyProtection="1">
      <alignment horizontal="center" vertical="center" wrapText="1"/>
    </xf>
    <xf numFmtId="0" fontId="5" fillId="3" borderId="95" xfId="0" applyFont="1" applyFill="1" applyBorder="1" applyAlignment="1" applyProtection="1">
      <alignment horizontal="center" vertical="center" wrapText="1"/>
    </xf>
    <xf numFmtId="4" fontId="4" fillId="0" borderId="38" xfId="0" applyNumberFormat="1" applyFont="1" applyFill="1" applyBorder="1" applyAlignment="1" applyProtection="1">
      <alignment horizontal="left"/>
      <protection locked="0"/>
    </xf>
    <xf numFmtId="4" fontId="4" fillId="0" borderId="11" xfId="0" applyNumberFormat="1" applyFont="1" applyFill="1" applyBorder="1" applyAlignment="1" applyProtection="1">
      <alignment horizontal="left"/>
      <protection locked="0"/>
    </xf>
    <xf numFmtId="0" fontId="5" fillId="3" borderId="12" xfId="0" applyFont="1" applyFill="1" applyBorder="1" applyAlignment="1" applyProtection="1"/>
    <xf numFmtId="0" fontId="5" fillId="3" borderId="98" xfId="0" applyFont="1" applyFill="1" applyBorder="1" applyAlignment="1" applyProtection="1"/>
    <xf numFmtId="4" fontId="4" fillId="0" borderId="39" xfId="0" applyNumberFormat="1" applyFont="1" applyFill="1" applyBorder="1" applyAlignment="1" applyProtection="1">
      <alignment horizontal="left"/>
      <protection locked="0"/>
    </xf>
    <xf numFmtId="4" fontId="4" fillId="0" borderId="99" xfId="0" applyNumberFormat="1" applyFont="1" applyFill="1" applyBorder="1" applyAlignment="1" applyProtection="1">
      <alignment horizontal="left"/>
      <protection locked="0"/>
    </xf>
    <xf numFmtId="0" fontId="8" fillId="12" borderId="45" xfId="0" applyFont="1" applyFill="1" applyBorder="1" applyAlignment="1" applyProtection="1">
      <alignment horizontal="center"/>
    </xf>
    <xf numFmtId="0" fontId="8" fillId="12" borderId="46" xfId="0" applyFont="1" applyFill="1" applyBorder="1" applyAlignment="1" applyProtection="1">
      <alignment horizontal="center"/>
    </xf>
    <xf numFmtId="0" fontId="8" fillId="12" borderId="96" xfId="0" applyFont="1" applyFill="1" applyBorder="1" applyAlignment="1" applyProtection="1">
      <alignment horizontal="center"/>
    </xf>
    <xf numFmtId="4" fontId="4" fillId="0" borderId="39" xfId="0" applyNumberFormat="1" applyFont="1" applyFill="1" applyBorder="1" applyAlignment="1" applyProtection="1">
      <protection locked="0"/>
    </xf>
    <xf numFmtId="4" fontId="4" fillId="0" borderId="99" xfId="0" applyNumberFormat="1" applyFont="1" applyFill="1" applyBorder="1" applyAlignment="1" applyProtection="1">
      <protection locked="0"/>
    </xf>
    <xf numFmtId="0" fontId="8" fillId="12" borderId="89" xfId="0" applyFont="1" applyFill="1" applyBorder="1" applyAlignment="1" applyProtection="1">
      <alignment horizontal="center"/>
    </xf>
    <xf numFmtId="0" fontId="8" fillId="12" borderId="47" xfId="0" applyFont="1" applyFill="1" applyBorder="1" applyAlignment="1" applyProtection="1">
      <alignment horizontal="center"/>
    </xf>
    <xf numFmtId="0" fontId="8" fillId="12" borderId="51" xfId="0" applyFont="1" applyFill="1" applyBorder="1" applyAlignment="1" applyProtection="1">
      <alignment horizontal="center"/>
    </xf>
    <xf numFmtId="0" fontId="8" fillId="12" borderId="90" xfId="0" applyFont="1" applyFill="1" applyBorder="1" applyAlignment="1" applyProtection="1">
      <alignment horizontal="center"/>
    </xf>
    <xf numFmtId="0" fontId="0" fillId="0" borderId="91" xfId="0" applyBorder="1" applyAlignment="1" applyProtection="1">
      <alignment horizontal="center"/>
    </xf>
    <xf numFmtId="0" fontId="0" fillId="0" borderId="92" xfId="0" applyBorder="1" applyAlignment="1" applyProtection="1">
      <alignment horizontal="center"/>
    </xf>
    <xf numFmtId="0" fontId="8" fillId="52" borderId="20" xfId="0" applyFont="1" applyFill="1" applyBorder="1" applyAlignment="1" applyProtection="1">
      <alignment horizontal="center"/>
    </xf>
    <xf numFmtId="0" fontId="5" fillId="3" borderId="97" xfId="0" applyFont="1" applyFill="1" applyBorder="1" applyAlignment="1" applyProtection="1">
      <alignment horizontal="center" vertical="center" wrapText="1"/>
    </xf>
    <xf numFmtId="0" fontId="8" fillId="12" borderId="104" xfId="0" applyFont="1" applyFill="1" applyBorder="1" applyAlignment="1" applyProtection="1">
      <alignment horizontal="center"/>
    </xf>
    <xf numFmtId="0" fontId="0" fillId="0" borderId="25" xfId="0" applyBorder="1" applyAlignment="1" applyProtection="1"/>
    <xf numFmtId="0" fontId="0" fillId="0" borderId="105" xfId="0" applyBorder="1" applyAlignment="1" applyProtection="1"/>
    <xf numFmtId="0" fontId="5" fillId="3" borderId="69" xfId="0" applyFont="1" applyFill="1" applyBorder="1" applyAlignment="1" applyProtection="1">
      <alignment horizontal="center" vertical="center" wrapText="1"/>
    </xf>
    <xf numFmtId="0" fontId="0" fillId="0" borderId="70" xfId="0" applyBorder="1" applyAlignment="1" applyProtection="1">
      <alignment horizontal="center" vertical="center" wrapText="1"/>
    </xf>
    <xf numFmtId="0" fontId="0" fillId="0" borderId="7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06" xfId="0" applyBorder="1" applyAlignment="1" applyProtection="1">
      <alignment horizontal="center" vertical="center" wrapText="1"/>
    </xf>
    <xf numFmtId="0" fontId="5" fillId="3" borderId="37" xfId="0" applyFont="1" applyFill="1" applyBorder="1" applyAlignment="1" applyProtection="1">
      <alignment horizontal="center" vertical="center" wrapText="1"/>
    </xf>
    <xf numFmtId="0" fontId="8" fillId="12" borderId="100" xfId="0" applyFont="1" applyFill="1" applyBorder="1" applyAlignment="1" applyProtection="1">
      <alignment horizontal="center"/>
    </xf>
    <xf numFmtId="0" fontId="8" fillId="12" borderId="101" xfId="0" applyFont="1" applyFill="1" applyBorder="1" applyAlignment="1" applyProtection="1">
      <alignment horizontal="center"/>
    </xf>
    <xf numFmtId="0" fontId="8" fillId="12" borderId="102" xfId="0" applyFont="1" applyFill="1" applyBorder="1" applyAlignment="1" applyProtection="1">
      <alignment horizontal="center"/>
    </xf>
    <xf numFmtId="0" fontId="0" fillId="0" borderId="0" xfId="0" applyBorder="1" applyAlignment="1" applyProtection="1"/>
    <xf numFmtId="0" fontId="5" fillId="3" borderId="12" xfId="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65" xfId="0"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3" xfId="0" applyBorder="1" applyAlignment="1" applyProtection="1">
      <alignment horizontal="center" vertical="center" wrapText="1"/>
    </xf>
    <xf numFmtId="0" fontId="41" fillId="3" borderId="0" xfId="0" applyFont="1" applyFill="1" applyBorder="1" applyAlignment="1" applyProtection="1"/>
    <xf numFmtId="0" fontId="41" fillId="3" borderId="0" xfId="0" applyFont="1" applyFill="1" applyBorder="1" applyAlignment="1" applyProtection="1">
      <alignment horizontal="left"/>
    </xf>
    <xf numFmtId="0" fontId="5" fillId="3" borderId="75"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8" fillId="12" borderId="103" xfId="0" applyFont="1" applyFill="1" applyBorder="1" applyAlignment="1" applyProtection="1">
      <alignment horizontal="center"/>
    </xf>
    <xf numFmtId="0" fontId="8" fillId="52" borderId="20" xfId="0" applyFont="1" applyFill="1" applyBorder="1" applyAlignment="1" applyProtection="1">
      <alignment horizontal="center"/>
      <protection locked="0"/>
    </xf>
    <xf numFmtId="0" fontId="0" fillId="0" borderId="50" xfId="0" applyBorder="1" applyAlignment="1" applyProtection="1">
      <alignment horizontal="center"/>
      <protection locked="0"/>
    </xf>
    <xf numFmtId="0" fontId="0" fillId="0" borderId="11" xfId="0" applyBorder="1" applyAlignment="1" applyProtection="1">
      <alignment horizontal="center"/>
      <protection locked="0"/>
    </xf>
    <xf numFmtId="0" fontId="32" fillId="12" borderId="31" xfId="0" applyFont="1" applyFill="1" applyBorder="1" applyAlignment="1" applyProtection="1">
      <protection locked="0"/>
    </xf>
    <xf numFmtId="0" fontId="0" fillId="0" borderId="107" xfId="0" applyBorder="1" applyAlignment="1" applyProtection="1">
      <protection locked="0"/>
    </xf>
    <xf numFmtId="0" fontId="8" fillId="12" borderId="108" xfId="0" applyFont="1" applyFill="1" applyBorder="1" applyAlignment="1" applyProtection="1">
      <alignment horizontal="center"/>
    </xf>
    <xf numFmtId="0" fontId="8" fillId="12" borderId="13" xfId="0" applyFont="1" applyFill="1" applyBorder="1" applyAlignment="1" applyProtection="1">
      <alignment horizontal="center"/>
    </xf>
    <xf numFmtId="0" fontId="0" fillId="0" borderId="13" xfId="0" applyBorder="1" applyAlignment="1" applyProtection="1"/>
    <xf numFmtId="0" fontId="0" fillId="0" borderId="109" xfId="0" applyBorder="1" applyAlignment="1" applyProtection="1"/>
    <xf numFmtId="0" fontId="19" fillId="3" borderId="0" xfId="0" applyFont="1" applyFill="1" applyBorder="1" applyAlignment="1" applyProtection="1">
      <alignment horizontal="center"/>
      <protection locked="0"/>
    </xf>
    <xf numFmtId="0" fontId="0" fillId="0" borderId="0" xfId="0" applyBorder="1" applyAlignment="1" applyProtection="1">
      <protection locked="0"/>
    </xf>
    <xf numFmtId="0" fontId="39" fillId="3" borderId="0" xfId="0" applyFont="1" applyFill="1" applyBorder="1" applyAlignment="1" applyProtection="1">
      <alignment horizontal="center"/>
      <protection locked="0"/>
    </xf>
    <xf numFmtId="0" fontId="8" fillId="55" borderId="20" xfId="0" applyFont="1" applyFill="1" applyBorder="1" applyAlignment="1" applyProtection="1">
      <alignment horizontal="center" wrapText="1"/>
    </xf>
    <xf numFmtId="0" fontId="0" fillId="0" borderId="50" xfId="0" applyBorder="1" applyAlignment="1">
      <alignment wrapText="1"/>
    </xf>
    <xf numFmtId="0" fontId="0" fillId="0" borderId="11" xfId="0" applyBorder="1" applyAlignment="1">
      <alignment wrapText="1"/>
    </xf>
    <xf numFmtId="0" fontId="23" fillId="46" borderId="0" xfId="0" applyFont="1" applyFill="1" applyBorder="1" applyAlignment="1" applyProtection="1">
      <alignment horizontal="center" vertical="center" wrapText="1"/>
    </xf>
    <xf numFmtId="0" fontId="5" fillId="3" borderId="110" xfId="0" applyFont="1" applyFill="1" applyBorder="1" applyAlignment="1" applyProtection="1">
      <alignment horizontal="center" vertical="center" wrapText="1"/>
    </xf>
    <xf numFmtId="0" fontId="0" fillId="0" borderId="111" xfId="0" applyBorder="1" applyAlignment="1" applyProtection="1"/>
    <xf numFmtId="0" fontId="8" fillId="3" borderId="50" xfId="0" applyFont="1" applyFill="1" applyBorder="1" applyAlignment="1" applyProtection="1">
      <alignment horizontal="center"/>
      <protection locked="0"/>
    </xf>
    <xf numFmtId="0" fontId="44" fillId="46" borderId="0" xfId="0" applyFont="1" applyFill="1" applyBorder="1" applyAlignment="1" applyProtection="1">
      <alignment horizontal="center" vertical="center"/>
    </xf>
    <xf numFmtId="0" fontId="62" fillId="46" borderId="0" xfId="0" applyFont="1" applyFill="1" applyAlignment="1" applyProtection="1">
      <alignment vertical="center"/>
    </xf>
    <xf numFmtId="0" fontId="8" fillId="12" borderId="112" xfId="0" applyFont="1" applyFill="1" applyBorder="1" applyAlignment="1" applyProtection="1">
      <alignment horizontal="center"/>
    </xf>
    <xf numFmtId="0" fontId="8" fillId="12" borderId="70" xfId="0" applyFont="1" applyFill="1" applyBorder="1" applyAlignment="1" applyProtection="1">
      <alignment horizontal="center"/>
    </xf>
    <xf numFmtId="0" fontId="0" fillId="0" borderId="70" xfId="0" applyBorder="1" applyAlignment="1" applyProtection="1"/>
    <xf numFmtId="0" fontId="32" fillId="12" borderId="50" xfId="0" applyFont="1" applyFill="1" applyBorder="1" applyAlignment="1" applyProtection="1">
      <protection locked="0"/>
    </xf>
    <xf numFmtId="0" fontId="5" fillId="3" borderId="1" xfId="0" applyFont="1" applyFill="1" applyBorder="1" applyAlignment="1" applyProtection="1">
      <alignment horizontal="center" vertical="center" wrapText="1"/>
    </xf>
    <xf numFmtId="0" fontId="0" fillId="0" borderId="7" xfId="0" applyBorder="1" applyAlignment="1" applyProtection="1"/>
    <xf numFmtId="0" fontId="5" fillId="3" borderId="114" xfId="0" applyFont="1" applyFill="1" applyBorder="1" applyAlignment="1" applyProtection="1">
      <alignment horizontal="center" vertical="center" wrapText="1"/>
    </xf>
    <xf numFmtId="0" fontId="5" fillId="3" borderId="40" xfId="0" applyFont="1" applyFill="1" applyBorder="1" applyAlignment="1" applyProtection="1">
      <alignment horizontal="center" vertical="center" wrapText="1"/>
    </xf>
    <xf numFmtId="0" fontId="5" fillId="3" borderId="115" xfId="0" applyFont="1" applyFill="1" applyBorder="1" applyAlignment="1" applyProtection="1">
      <alignment horizontal="center" vertical="center" wrapText="1"/>
    </xf>
    <xf numFmtId="0" fontId="8" fillId="12" borderId="7" xfId="0" applyFont="1" applyFill="1" applyBorder="1" applyAlignment="1" applyProtection="1">
      <alignment horizontal="center"/>
    </xf>
    <xf numFmtId="0" fontId="0" fillId="0" borderId="2" xfId="0" applyBorder="1" applyAlignment="1" applyProtection="1"/>
    <xf numFmtId="0" fontId="32" fillId="12" borderId="8" xfId="0" applyFont="1" applyFill="1" applyBorder="1" applyAlignment="1" applyProtection="1">
      <protection locked="0"/>
    </xf>
    <xf numFmtId="0" fontId="0" fillId="0" borderId="8" xfId="0" applyBorder="1" applyAlignment="1" applyProtection="1">
      <protection locked="0"/>
    </xf>
    <xf numFmtId="0" fontId="8" fillId="12" borderId="2" xfId="0" applyFont="1" applyFill="1" applyBorder="1" applyAlignment="1" applyProtection="1">
      <alignment horizontal="center"/>
    </xf>
    <xf numFmtId="0" fontId="32" fillId="12" borderId="113" xfId="0" applyFont="1" applyFill="1" applyBorder="1" applyAlignment="1" applyProtection="1">
      <protection locked="0"/>
    </xf>
  </cellXfs>
  <cellStyles count="11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28" builtinId="3"/>
    <cellStyle name="Comma 2" xfId="29"/>
    <cellStyle name="Comma 2 2" xfId="30"/>
    <cellStyle name="Comma 3" xfId="31"/>
    <cellStyle name="Comma 3 2" xfId="32"/>
    <cellStyle name="Comma 3 3" xfId="33"/>
    <cellStyle name="Comma 4" xfId="34"/>
    <cellStyle name="Currency" xfId="35" builtinId="4"/>
    <cellStyle name="Currency 2" xfId="36"/>
    <cellStyle name="Currency 2 2" xfId="37"/>
    <cellStyle name="Currency 2 3" xfId="38"/>
    <cellStyle name="Currency 3" xfId="39"/>
    <cellStyle name="Currency 3 2" xfId="40"/>
    <cellStyle name="Currency 3 2 2" xfId="41"/>
    <cellStyle name="Currency 3 3" xfId="42"/>
    <cellStyle name="Currency 3 4" xfId="43"/>
    <cellStyle name="Currency 3 5" xfId="44"/>
    <cellStyle name="Currency 4" xfId="45"/>
    <cellStyle name="Currency 4 2" xfId="46"/>
    <cellStyle name="Currency 4 3" xfId="47"/>
    <cellStyle name="Currency 5" xfId="48"/>
    <cellStyle name="Error checks" xfId="49"/>
    <cellStyle name="Explanatory Text 2" xfId="50"/>
    <cellStyle name="Forecast Input" xfId="51"/>
    <cellStyle name="Forecast Input%" xfId="52"/>
    <cellStyle name="Good 2" xfId="53"/>
    <cellStyle name="Heading 1 2" xfId="54"/>
    <cellStyle name="Heading 2 2" xfId="55"/>
    <cellStyle name="Heading 3 2" xfId="56"/>
    <cellStyle name="Heading 4 2" xfId="57"/>
    <cellStyle name="Heading1" xfId="58"/>
    <cellStyle name="Heading2" xfId="59"/>
    <cellStyle name="Heading3" xfId="60"/>
    <cellStyle name="Hyperlink" xfId="61" builtinId="8"/>
    <cellStyle name="Hyperlink 2" xfId="62"/>
    <cellStyle name="Hyperlink 2 2" xfId="63"/>
    <cellStyle name="Info input %" xfId="64"/>
    <cellStyle name="Info Input1" xfId="65"/>
    <cellStyle name="Input 2" xfId="66"/>
    <cellStyle name="Input1" xfId="67"/>
    <cellStyle name="Input1 2" xfId="68"/>
    <cellStyle name="Input1 3" xfId="69"/>
    <cellStyle name="Input1%" xfId="70"/>
    <cellStyle name="Input1% 2" xfId="71"/>
    <cellStyle name="Input1% 3" xfId="72"/>
    <cellStyle name="key outputs" xfId="73"/>
    <cellStyle name="Linked Cell 2" xfId="74"/>
    <cellStyle name="links" xfId="75"/>
    <cellStyle name="Neutral 2" xfId="76"/>
    <cellStyle name="Normal" xfId="0" builtinId="0"/>
    <cellStyle name="Normal 2" xfId="77"/>
    <cellStyle name="Normal 2 2" xfId="78"/>
    <cellStyle name="Normal 2 2 2" xfId="79"/>
    <cellStyle name="Normal 2 3" xfId="80"/>
    <cellStyle name="Normal 2 4" xfId="81"/>
    <cellStyle name="Normal 3" xfId="82"/>
    <cellStyle name="Normal 3 2" xfId="83"/>
    <cellStyle name="Normal 3 2 2" xfId="84"/>
    <cellStyle name="Normal 3 3" xfId="85"/>
    <cellStyle name="Normal 3 4" xfId="86"/>
    <cellStyle name="Normal 3 5" xfId="87"/>
    <cellStyle name="Normal 4" xfId="88"/>
    <cellStyle name="Normal 5" xfId="89"/>
    <cellStyle name="Normal 5 2" xfId="90"/>
    <cellStyle name="Normal 6" xfId="91"/>
    <cellStyle name="Normal 7" xfId="92"/>
    <cellStyle name="Normal 7 2" xfId="93"/>
    <cellStyle name="Normal 8" xfId="94"/>
    <cellStyle name="Note 2" xfId="95"/>
    <cellStyle name="Output 2" xfId="96"/>
    <cellStyle name="Percent" xfId="97" builtinId="5"/>
    <cellStyle name="Percent 2" xfId="98"/>
    <cellStyle name="Percent 2 2" xfId="99"/>
    <cellStyle name="Percent 2 2 2" xfId="100"/>
    <cellStyle name="Percent 2 3" xfId="101"/>
    <cellStyle name="Percent 2 4" xfId="102"/>
    <cellStyle name="Percent 3" xfId="103"/>
    <cellStyle name="Percent 3 2" xfId="104"/>
    <cellStyle name="QA" xfId="105"/>
    <cellStyle name="Title" xfId="106" builtinId="15" customBuiltin="1"/>
    <cellStyle name="Total 2" xfId="107"/>
    <cellStyle name="Warning Text 2" xfId="108"/>
    <cellStyle name="Warnings" xfId="10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124</xdr:row>
      <xdr:rowOff>106680</xdr:rowOff>
    </xdr:from>
    <xdr:to>
      <xdr:col>9</xdr:col>
      <xdr:colOff>45720</xdr:colOff>
      <xdr:row>157</xdr:row>
      <xdr:rowOff>91440</xdr:rowOff>
    </xdr:to>
    <xdr:sp macro="" textlink="">
      <xdr:nvSpPr>
        <xdr:cNvPr id="852368" name="AutoShape 2798"/>
        <xdr:cNvSpPr>
          <a:spLocks noChangeAspect="1" noChangeArrowheads="1"/>
        </xdr:cNvSpPr>
      </xdr:nvSpPr>
      <xdr:spPr bwMode="auto">
        <a:xfrm>
          <a:off x="99060" y="26647140"/>
          <a:ext cx="5029200" cy="6751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126</xdr:row>
      <xdr:rowOff>0</xdr:rowOff>
    </xdr:from>
    <xdr:to>
      <xdr:col>8</xdr:col>
      <xdr:colOff>68580</xdr:colOff>
      <xdr:row>157</xdr:row>
      <xdr:rowOff>160020</xdr:rowOff>
    </xdr:to>
    <xdr:pic>
      <xdr:nvPicPr>
        <xdr:cNvPr id="852369"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936700"/>
          <a:ext cx="4518660" cy="653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126</xdr:row>
      <xdr:rowOff>68580</xdr:rowOff>
    </xdr:from>
    <xdr:to>
      <xdr:col>8</xdr:col>
      <xdr:colOff>609600</xdr:colOff>
      <xdr:row>159</xdr:row>
      <xdr:rowOff>30480</xdr:rowOff>
    </xdr:to>
    <xdr:pic>
      <xdr:nvPicPr>
        <xdr:cNvPr id="852370" name="Picture 10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005280"/>
          <a:ext cx="505968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419100</xdr:colOff>
      <xdr:row>0</xdr:row>
      <xdr:rowOff>68580</xdr:rowOff>
    </xdr:from>
    <xdr:to>
      <xdr:col>5</xdr:col>
      <xdr:colOff>198120</xdr:colOff>
      <xdr:row>4</xdr:row>
      <xdr:rowOff>160020</xdr:rowOff>
    </xdr:to>
    <xdr:pic>
      <xdr:nvPicPr>
        <xdr:cNvPr id="852371" name="Picture 5" descr="T:\Chris\IPART\2016\Logos\IPART logo - trans.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9100" y="68580"/>
          <a:ext cx="258318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731520</xdr:colOff>
      <xdr:row>4</xdr:row>
      <xdr:rowOff>144780</xdr:rowOff>
    </xdr:to>
    <xdr:pic>
      <xdr:nvPicPr>
        <xdr:cNvPr id="851091"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6200"/>
          <a:ext cx="261366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ny_camenzuli@ipart.nsw.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rsh_suri@ipart.nsw.gov.au" TargetMode="External"/><Relationship Id="rId1" Type="http://schemas.openxmlformats.org/officeDocument/2006/relationships/hyperlink" Target="mailto:anthony_rush@ipart.nsw.gov.a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52"/>
  <sheetViews>
    <sheetView showGridLines="0" tabSelected="1" view="pageBreakPreview" zoomScaleNormal="100" zoomScaleSheetLayoutView="100" workbookViewId="0"/>
  </sheetViews>
  <sheetFormatPr defaultRowHeight="11.4" x14ac:dyDescent="0.2"/>
  <cols>
    <col min="1" max="1" width="8.125" customWidth="1"/>
    <col min="2" max="2" width="10.875" customWidth="1"/>
    <col min="9" max="9" width="10.375" bestFit="1" customWidth="1"/>
    <col min="10" max="10" width="10.75" bestFit="1" customWidth="1"/>
    <col min="11" max="11" width="10" customWidth="1"/>
    <col min="12" max="12" width="35.75" customWidth="1"/>
    <col min="13" max="13" width="2.25" customWidth="1"/>
    <col min="14" max="14" width="3.125" customWidth="1"/>
  </cols>
  <sheetData>
    <row r="1" spans="1:17" ht="42" customHeight="1" x14ac:dyDescent="0.5">
      <c r="A1" s="30"/>
      <c r="B1" s="739"/>
      <c r="C1" s="739"/>
      <c r="D1" s="739"/>
      <c r="E1" s="739"/>
      <c r="F1" s="739"/>
      <c r="G1" s="739"/>
      <c r="H1" s="739"/>
      <c r="I1" s="739"/>
      <c r="J1" s="739"/>
      <c r="K1" s="739"/>
      <c r="L1" s="101"/>
      <c r="M1" s="101"/>
      <c r="N1" s="112"/>
    </row>
    <row r="2" spans="1:17" ht="22.8" x14ac:dyDescent="0.4">
      <c r="A2" s="36"/>
      <c r="B2" s="740"/>
      <c r="C2" s="740"/>
      <c r="D2" s="740"/>
      <c r="E2" s="740"/>
      <c r="F2" s="740"/>
      <c r="G2" s="740"/>
      <c r="H2" s="740"/>
      <c r="I2" s="740"/>
      <c r="J2" s="740"/>
      <c r="K2" s="740"/>
      <c r="L2" s="102"/>
      <c r="M2" s="102"/>
      <c r="N2" s="113"/>
    </row>
    <row r="3" spans="1:17" ht="13.5" customHeight="1" x14ac:dyDescent="0.4">
      <c r="A3" s="36"/>
      <c r="B3" s="102"/>
      <c r="C3" s="102"/>
      <c r="D3" s="102"/>
      <c r="E3" s="102"/>
      <c r="F3" s="102"/>
      <c r="G3" s="102"/>
      <c r="H3" s="102"/>
      <c r="I3" s="102"/>
      <c r="J3" s="102"/>
      <c r="K3" s="102"/>
      <c r="L3" s="102"/>
      <c r="M3" s="102"/>
      <c r="N3" s="113"/>
    </row>
    <row r="4" spans="1:17" ht="13.5" customHeight="1" x14ac:dyDescent="0.4">
      <c r="A4" s="36"/>
      <c r="B4" s="102"/>
      <c r="C4" s="102"/>
      <c r="D4" s="102"/>
      <c r="E4" s="102"/>
      <c r="F4" s="102"/>
      <c r="G4" s="102"/>
      <c r="H4" s="102"/>
      <c r="I4" s="102"/>
      <c r="J4" s="102"/>
      <c r="K4" s="102"/>
      <c r="L4" s="102"/>
      <c r="M4" s="102"/>
      <c r="N4" s="113"/>
    </row>
    <row r="5" spans="1:17" ht="13.5" customHeight="1" x14ac:dyDescent="0.4">
      <c r="A5" s="36"/>
      <c r="B5" s="102"/>
      <c r="C5" s="102"/>
      <c r="D5" s="102"/>
      <c r="E5" s="102"/>
      <c r="F5" s="102"/>
      <c r="G5" s="102"/>
      <c r="H5" s="102"/>
      <c r="I5" s="102"/>
      <c r="J5" s="102"/>
      <c r="K5" s="102"/>
      <c r="L5" s="102"/>
      <c r="M5" s="102"/>
      <c r="N5" s="113"/>
    </row>
    <row r="6" spans="1:17" s="120" customFormat="1" ht="25.5" customHeight="1" x14ac:dyDescent="0.4">
      <c r="A6" s="315"/>
      <c r="B6" s="316" t="s">
        <v>230</v>
      </c>
      <c r="C6" s="213"/>
      <c r="D6" s="118"/>
      <c r="E6" s="213"/>
      <c r="F6" s="118"/>
      <c r="G6" s="118"/>
      <c r="H6" s="118"/>
      <c r="I6" s="118"/>
      <c r="J6" s="118"/>
      <c r="K6" s="118"/>
      <c r="L6" s="118"/>
      <c r="M6" s="118"/>
      <c r="N6" s="119"/>
    </row>
    <row r="7" spans="1:17" ht="22.8" x14ac:dyDescent="0.4">
      <c r="A7" s="36"/>
      <c r="B7" s="741" t="s">
        <v>221</v>
      </c>
      <c r="C7" s="741"/>
      <c r="D7" s="741"/>
      <c r="E7" s="741"/>
      <c r="F7" s="741"/>
      <c r="G7" s="741"/>
      <c r="H7" s="741"/>
      <c r="I7" s="741"/>
      <c r="J7" s="741"/>
      <c r="K7" s="741"/>
      <c r="L7" s="317"/>
      <c r="M7" s="317"/>
      <c r="N7" s="113"/>
    </row>
    <row r="8" spans="1:17" s="2" customFormat="1" ht="21" customHeight="1" x14ac:dyDescent="0.4">
      <c r="A8" s="36"/>
      <c r="B8" s="741" t="s">
        <v>222</v>
      </c>
      <c r="C8" s="741"/>
      <c r="D8" s="741"/>
      <c r="E8" s="741"/>
      <c r="F8" s="741"/>
      <c r="G8" s="741"/>
      <c r="H8" s="741"/>
      <c r="I8" s="741"/>
      <c r="J8" s="741"/>
      <c r="K8" s="741"/>
      <c r="L8" s="317"/>
      <c r="M8" s="317"/>
      <c r="N8" s="113"/>
    </row>
    <row r="9" spans="1:17" s="2" customFormat="1" ht="12.75" customHeight="1" x14ac:dyDescent="0.4">
      <c r="A9" s="36"/>
      <c r="B9" s="102"/>
      <c r="C9" s="102"/>
      <c r="D9" s="102"/>
      <c r="E9" s="102"/>
      <c r="F9" s="102"/>
      <c r="G9" s="102"/>
      <c r="H9" s="102"/>
      <c r="I9" s="102"/>
      <c r="J9" s="102"/>
      <c r="K9" s="102"/>
      <c r="L9" s="102"/>
      <c r="M9" s="102"/>
      <c r="N9" s="45"/>
    </row>
    <row r="10" spans="1:17" s="2" customFormat="1" ht="21" x14ac:dyDescent="0.4">
      <c r="A10" s="36"/>
      <c r="B10" s="729" t="s">
        <v>492</v>
      </c>
      <c r="C10" s="729"/>
      <c r="D10" s="729"/>
      <c r="E10" s="729"/>
      <c r="F10" s="729"/>
      <c r="G10" s="729"/>
      <c r="H10" s="729"/>
      <c r="I10" s="729"/>
      <c r="J10" s="729"/>
      <c r="K10" s="729"/>
      <c r="L10" s="318"/>
      <c r="M10" s="318"/>
      <c r="N10" s="114"/>
    </row>
    <row r="11" spans="1:17" s="2" customFormat="1" ht="17.399999999999999" x14ac:dyDescent="0.3">
      <c r="A11" s="36"/>
      <c r="B11" s="729"/>
      <c r="C11" s="729"/>
      <c r="D11" s="729"/>
      <c r="E11" s="729"/>
      <c r="F11" s="729"/>
      <c r="G11" s="729"/>
      <c r="H11" s="729"/>
      <c r="I11" s="729"/>
      <c r="J11" s="729"/>
      <c r="K11" s="729"/>
      <c r="L11" s="318"/>
      <c r="M11" s="318"/>
      <c r="N11" s="45"/>
    </row>
    <row r="12" spans="1:17" s="2" customFormat="1" ht="11.25" customHeight="1" x14ac:dyDescent="0.4">
      <c r="A12" s="36"/>
      <c r="B12" s="103"/>
      <c r="C12" s="103"/>
      <c r="D12" s="103"/>
      <c r="E12" s="103"/>
      <c r="F12" s="103"/>
      <c r="G12" s="103"/>
      <c r="H12" s="103"/>
      <c r="I12" s="103"/>
      <c r="J12" s="103"/>
      <c r="K12" s="103"/>
      <c r="L12" s="103"/>
      <c r="M12" s="103"/>
      <c r="N12" s="45"/>
    </row>
    <row r="13" spans="1:17" s="2" customFormat="1" ht="56.25" customHeight="1" x14ac:dyDescent="0.4">
      <c r="A13" s="36"/>
      <c r="B13" s="730" t="str">
        <f>"SECTION 508A &amp; 508(2) APPLICATION FORM PART A "&amp;'WK0 - Input data'!$E$6</f>
        <v>SECTION 508A &amp; 508(2) APPLICATION FORM PART A 2018-19</v>
      </c>
      <c r="C13" s="731"/>
      <c r="D13" s="731"/>
      <c r="E13" s="731"/>
      <c r="F13" s="731"/>
      <c r="G13" s="731"/>
      <c r="H13" s="731"/>
      <c r="I13" s="731"/>
      <c r="J13" s="731"/>
      <c r="K13" s="731"/>
      <c r="L13" s="319"/>
      <c r="M13" s="319"/>
      <c r="N13" s="45"/>
      <c r="Q13" s="24"/>
    </row>
    <row r="14" spans="1:17" s="2" customFormat="1" ht="10.5" customHeight="1" x14ac:dyDescent="0.3">
      <c r="A14" s="104"/>
      <c r="B14" s="105"/>
      <c r="C14" s="105"/>
      <c r="D14" s="105"/>
      <c r="E14" s="105"/>
      <c r="F14" s="105"/>
      <c r="G14" s="105"/>
      <c r="H14" s="105"/>
      <c r="I14" s="105"/>
      <c r="J14" s="105"/>
      <c r="K14" s="105"/>
      <c r="L14" s="105"/>
      <c r="M14" s="105"/>
      <c r="N14" s="115"/>
      <c r="Q14" s="141"/>
    </row>
    <row r="15" spans="1:17" s="135" customFormat="1" ht="32.25" customHeight="1" x14ac:dyDescent="0.2">
      <c r="A15" s="131"/>
      <c r="B15" s="132"/>
      <c r="C15" s="133"/>
      <c r="D15" s="735" t="s">
        <v>477</v>
      </c>
      <c r="E15" s="736"/>
      <c r="F15" s="736"/>
      <c r="G15" s="736"/>
      <c r="H15" s="736"/>
      <c r="I15" s="737"/>
      <c r="J15" s="320"/>
      <c r="K15" s="320"/>
      <c r="L15" s="320"/>
      <c r="M15" s="320"/>
      <c r="N15" s="134"/>
      <c r="P15" s="135" t="s">
        <v>241</v>
      </c>
      <c r="Q15" s="142"/>
    </row>
    <row r="16" spans="1:17" s="140" customFormat="1" ht="42" customHeight="1" x14ac:dyDescent="0.2">
      <c r="A16" s="136"/>
      <c r="B16" s="137"/>
      <c r="C16" s="138"/>
      <c r="D16" s="732" t="s">
        <v>331</v>
      </c>
      <c r="E16" s="733"/>
      <c r="F16" s="733"/>
      <c r="G16" s="733"/>
      <c r="H16" s="733"/>
      <c r="I16" s="734"/>
      <c r="J16" s="321"/>
      <c r="K16" s="321"/>
      <c r="L16" s="321"/>
      <c r="M16" s="321"/>
      <c r="N16" s="139"/>
      <c r="Q16" s="143"/>
    </row>
    <row r="17" spans="1:14" s="2" customFormat="1" ht="11.25" customHeight="1" x14ac:dyDescent="0.25">
      <c r="A17" s="104"/>
      <c r="B17" s="94"/>
      <c r="C17" s="94"/>
      <c r="D17" s="94"/>
      <c r="E17" s="94"/>
      <c r="F17" s="94"/>
      <c r="G17" s="94"/>
      <c r="H17" s="94"/>
      <c r="I17" s="94"/>
      <c r="J17" s="94"/>
      <c r="K17" s="94"/>
      <c r="L17" s="94"/>
      <c r="M17" s="94"/>
      <c r="N17" s="115"/>
    </row>
    <row r="18" spans="1:14" s="2" customFormat="1" ht="24" customHeight="1" x14ac:dyDescent="0.3">
      <c r="A18" s="714" t="s">
        <v>724</v>
      </c>
      <c r="B18" s="715"/>
      <c r="C18" s="715"/>
      <c r="D18" s="715"/>
      <c r="E18" s="715"/>
      <c r="F18" s="715"/>
      <c r="G18" s="715"/>
      <c r="H18" s="715"/>
      <c r="I18" s="715"/>
      <c r="J18" s="715"/>
      <c r="K18" s="715"/>
      <c r="L18" s="715"/>
      <c r="M18" s="715"/>
      <c r="N18" s="716"/>
    </row>
    <row r="19" spans="1:14" s="2" customFormat="1" ht="24" customHeight="1" x14ac:dyDescent="0.3">
      <c r="A19" s="104"/>
      <c r="B19" s="94"/>
      <c r="C19" s="94"/>
      <c r="D19" s="94"/>
      <c r="E19" s="94"/>
      <c r="F19" s="107"/>
      <c r="G19" s="94"/>
      <c r="H19" s="94"/>
      <c r="I19" s="94"/>
      <c r="J19" s="94"/>
      <c r="K19" s="94"/>
      <c r="L19" s="94"/>
      <c r="M19" s="94"/>
      <c r="N19" s="115"/>
    </row>
    <row r="20" spans="1:14" s="2" customFormat="1" ht="15" customHeight="1" x14ac:dyDescent="0.3">
      <c r="A20" s="104"/>
      <c r="B20" s="94"/>
      <c r="C20" s="489" t="s">
        <v>493</v>
      </c>
      <c r="D20" s="105"/>
      <c r="E20" s="106"/>
      <c r="F20" s="94"/>
      <c r="G20" s="94"/>
      <c r="H20" s="94"/>
      <c r="I20" s="94"/>
      <c r="J20" s="94"/>
      <c r="K20" s="94"/>
      <c r="L20" s="94"/>
      <c r="M20" s="94"/>
      <c r="N20" s="115"/>
    </row>
    <row r="21" spans="1:14" s="2" customFormat="1" ht="5.25" customHeight="1" x14ac:dyDescent="0.25">
      <c r="A21" s="104"/>
      <c r="B21" s="94"/>
      <c r="C21" s="94"/>
      <c r="D21" s="94"/>
      <c r="E21" s="94"/>
      <c r="F21" s="94"/>
      <c r="G21" s="94"/>
      <c r="H21" s="94"/>
      <c r="I21" s="94"/>
      <c r="J21" s="94"/>
      <c r="K21" s="94"/>
      <c r="L21" s="94"/>
      <c r="M21" s="94"/>
      <c r="N21" s="115"/>
    </row>
    <row r="22" spans="1:14" s="2" customFormat="1" ht="15" customHeight="1" x14ac:dyDescent="0.3">
      <c r="A22" s="104"/>
      <c r="B22" s="94"/>
      <c r="C22" s="107" t="s">
        <v>223</v>
      </c>
      <c r="D22" s="94" t="s">
        <v>228</v>
      </c>
      <c r="E22" s="94"/>
      <c r="F22" s="94"/>
      <c r="G22" s="94"/>
      <c r="H22" s="94"/>
      <c r="I22" s="94"/>
      <c r="J22" s="94"/>
      <c r="K22" s="94"/>
      <c r="L22" s="94"/>
      <c r="M22" s="94"/>
      <c r="N22" s="115"/>
    </row>
    <row r="23" spans="1:14" s="2" customFormat="1" ht="15" customHeight="1" x14ac:dyDescent="0.25">
      <c r="A23" s="104"/>
      <c r="B23" s="94"/>
      <c r="C23" s="94"/>
      <c r="D23" s="203" t="str">
        <f>"(Special Variation Application Form "&amp;'WK0 - Input data'!$E$6&amp;"- Part B)"</f>
        <v>(Special Variation Application Form 2018-19- Part B)</v>
      </c>
      <c r="E23" s="94"/>
      <c r="F23" s="94"/>
      <c r="G23" s="94"/>
      <c r="H23" s="94"/>
      <c r="I23" s="94"/>
      <c r="J23" s="94"/>
      <c r="K23" s="94"/>
      <c r="L23" s="94"/>
      <c r="M23" s="94"/>
      <c r="N23" s="115"/>
    </row>
    <row r="24" spans="1:14" s="2" customFormat="1" ht="9.75" customHeight="1" x14ac:dyDescent="0.25">
      <c r="A24" s="104"/>
      <c r="B24" s="94"/>
      <c r="C24" s="94"/>
      <c r="D24" s="94"/>
      <c r="E24" s="94"/>
      <c r="F24" s="94"/>
      <c r="G24" s="94"/>
      <c r="H24" s="94"/>
      <c r="I24" s="94"/>
      <c r="J24" s="94"/>
      <c r="K24" s="94"/>
      <c r="L24" s="94"/>
      <c r="M24" s="94"/>
      <c r="N24" s="115"/>
    </row>
    <row r="25" spans="1:14" s="2" customFormat="1" ht="18" customHeight="1" x14ac:dyDescent="0.4">
      <c r="A25" s="36"/>
      <c r="B25" s="738" t="s">
        <v>68</v>
      </c>
      <c r="C25" s="738"/>
      <c r="D25" s="738"/>
      <c r="E25" s="738"/>
      <c r="F25" s="738"/>
      <c r="G25" s="738"/>
      <c r="H25" s="738"/>
      <c r="I25" s="738"/>
      <c r="J25" s="738"/>
      <c r="K25" s="738"/>
      <c r="L25" s="322"/>
      <c r="M25" s="322"/>
      <c r="N25" s="45"/>
    </row>
    <row r="26" spans="1:14" s="2" customFormat="1" ht="8.25" customHeight="1" x14ac:dyDescent="0.4">
      <c r="A26" s="36"/>
      <c r="B26" s="106"/>
      <c r="C26" s="90"/>
      <c r="D26" s="90"/>
      <c r="E26" s="90"/>
      <c r="F26" s="90"/>
      <c r="G26" s="90"/>
      <c r="H26" s="90"/>
      <c r="I26" s="90"/>
      <c r="J26" s="90"/>
      <c r="K26" s="90"/>
      <c r="L26" s="90"/>
      <c r="M26" s="90"/>
      <c r="N26" s="45"/>
    </row>
    <row r="27" spans="1:14" s="2" customFormat="1" ht="8.25" customHeight="1" x14ac:dyDescent="0.4">
      <c r="A27" s="36"/>
      <c r="B27" s="106"/>
      <c r="C27" s="90"/>
      <c r="D27" s="90"/>
      <c r="E27" s="90"/>
      <c r="F27" s="90"/>
      <c r="G27" s="90"/>
      <c r="H27" s="90"/>
      <c r="I27" s="90"/>
      <c r="J27" s="90"/>
      <c r="K27" s="90"/>
      <c r="L27" s="90"/>
      <c r="M27" s="90"/>
      <c r="N27" s="45"/>
    </row>
    <row r="28" spans="1:14" s="2" customFormat="1" ht="18.75" customHeight="1" x14ac:dyDescent="0.4">
      <c r="A28" s="36"/>
      <c r="B28" s="490" t="s">
        <v>494</v>
      </c>
      <c r="C28" s="90"/>
      <c r="D28" s="90"/>
      <c r="E28" s="90"/>
      <c r="F28" s="90"/>
      <c r="G28" s="90"/>
      <c r="H28" s="90"/>
      <c r="I28" s="90"/>
      <c r="J28" s="90"/>
      <c r="K28" s="90"/>
      <c r="L28" s="90"/>
      <c r="M28" s="90"/>
      <c r="N28" s="45"/>
    </row>
    <row r="29" spans="1:14" s="2" customFormat="1" ht="21.75" customHeight="1" x14ac:dyDescent="0.4">
      <c r="A29" s="36"/>
      <c r="B29" s="489" t="s">
        <v>479</v>
      </c>
      <c r="C29" s="90"/>
      <c r="D29" s="90"/>
      <c r="E29" s="90"/>
      <c r="F29" s="90"/>
      <c r="G29" s="90"/>
      <c r="H29" s="90"/>
      <c r="I29" s="90"/>
      <c r="J29" s="90"/>
      <c r="K29" s="90"/>
      <c r="L29" s="90"/>
      <c r="M29" s="90"/>
      <c r="N29" s="45"/>
    </row>
    <row r="30" spans="1:14" ht="16.5" customHeight="1" x14ac:dyDescent="0.4">
      <c r="A30" s="36"/>
      <c r="B30" s="726"/>
      <c r="C30" s="713"/>
      <c r="D30" s="713"/>
      <c r="E30" s="713"/>
      <c r="F30" s="713"/>
      <c r="G30" s="713"/>
      <c r="H30" s="713"/>
      <c r="I30" s="713"/>
      <c r="J30" s="713"/>
      <c r="K30" s="713"/>
      <c r="L30" s="713"/>
      <c r="M30" s="90"/>
      <c r="N30" s="45"/>
    </row>
    <row r="31" spans="1:14" ht="16.5" customHeight="1" x14ac:dyDescent="0.4">
      <c r="A31" s="36"/>
      <c r="B31" s="726" t="s">
        <v>540</v>
      </c>
      <c r="C31" s="713"/>
      <c r="D31" s="713"/>
      <c r="E31" s="713"/>
      <c r="F31" s="713"/>
      <c r="G31" s="713"/>
      <c r="H31" s="713"/>
      <c r="I31" s="713"/>
      <c r="J31" s="713"/>
      <c r="K31" s="713"/>
      <c r="L31" s="713"/>
      <c r="M31" s="90"/>
      <c r="N31" s="45"/>
    </row>
    <row r="32" spans="1:14" ht="16.5" customHeight="1" x14ac:dyDescent="0.4">
      <c r="A32" s="36"/>
      <c r="B32" s="489"/>
      <c r="C32" s="489"/>
      <c r="D32" s="489"/>
      <c r="E32" s="489"/>
      <c r="F32" s="489"/>
      <c r="G32" s="489"/>
      <c r="H32" s="489"/>
      <c r="I32" s="489"/>
      <c r="J32" s="489"/>
      <c r="K32" s="489"/>
      <c r="L32" s="489"/>
      <c r="M32" s="90"/>
      <c r="N32" s="45"/>
    </row>
    <row r="33" spans="1:14" ht="16.5" customHeight="1" x14ac:dyDescent="0.4">
      <c r="A33" s="36"/>
      <c r="B33" s="489" t="s">
        <v>478</v>
      </c>
      <c r="C33" s="489"/>
      <c r="D33" s="489"/>
      <c r="E33" s="489"/>
      <c r="F33" s="489"/>
      <c r="G33" s="489"/>
      <c r="H33" s="489"/>
      <c r="I33" s="489"/>
      <c r="J33" s="489"/>
      <c r="K33" s="489"/>
      <c r="L33" s="489"/>
      <c r="M33" s="90"/>
      <c r="N33" s="45"/>
    </row>
    <row r="34" spans="1:14" ht="16.5" customHeight="1" x14ac:dyDescent="0.4">
      <c r="A34" s="36"/>
      <c r="B34" s="489"/>
      <c r="C34" s="489"/>
      <c r="D34" s="489"/>
      <c r="E34" s="489"/>
      <c r="F34" s="489"/>
      <c r="G34" s="489"/>
      <c r="H34" s="489"/>
      <c r="I34" s="489"/>
      <c r="J34" s="489"/>
      <c r="K34" s="489"/>
      <c r="L34" s="489"/>
      <c r="M34" s="90"/>
      <c r="N34" s="45"/>
    </row>
    <row r="35" spans="1:14" s="338" customFormat="1" ht="16.5" customHeight="1" x14ac:dyDescent="0.4">
      <c r="A35" s="36"/>
      <c r="B35" s="489" t="s">
        <v>495</v>
      </c>
      <c r="C35" s="489"/>
      <c r="D35" s="489"/>
      <c r="E35" s="489"/>
      <c r="F35" s="489"/>
      <c r="G35" s="489"/>
      <c r="H35" s="489"/>
      <c r="I35" s="489"/>
      <c r="J35" s="489"/>
      <c r="K35" s="489"/>
      <c r="L35" s="489"/>
      <c r="M35" s="90"/>
      <c r="N35" s="383"/>
    </row>
    <row r="36" spans="1:14" ht="16.5" customHeight="1" x14ac:dyDescent="0.4">
      <c r="A36" s="36"/>
      <c r="B36" s="489" t="s">
        <v>496</v>
      </c>
      <c r="C36" s="489"/>
      <c r="D36" s="489"/>
      <c r="E36" s="489"/>
      <c r="F36" s="489"/>
      <c r="G36" s="489"/>
      <c r="H36" s="489"/>
      <c r="I36" s="489"/>
      <c r="J36" s="489"/>
      <c r="K36" s="489"/>
      <c r="L36" s="489"/>
      <c r="M36" s="90"/>
      <c r="N36" s="45"/>
    </row>
    <row r="37" spans="1:14" ht="16.5" customHeight="1" x14ac:dyDescent="0.4">
      <c r="A37" s="382"/>
      <c r="B37" s="489"/>
      <c r="C37" s="106"/>
      <c r="D37" s="106"/>
      <c r="E37" s="106"/>
      <c r="F37" s="106"/>
      <c r="G37" s="106"/>
      <c r="H37" s="106"/>
      <c r="I37" s="106"/>
      <c r="J37" s="106"/>
      <c r="K37" s="106"/>
      <c r="L37" s="106"/>
      <c r="M37" s="90"/>
      <c r="N37" s="45"/>
    </row>
    <row r="38" spans="1:14" ht="16.5" customHeight="1" x14ac:dyDescent="0.4">
      <c r="A38" s="36"/>
      <c r="B38" s="727" t="s">
        <v>367</v>
      </c>
      <c r="C38" s="713"/>
      <c r="D38" s="713"/>
      <c r="E38" s="713"/>
      <c r="F38" s="713"/>
      <c r="G38" s="713"/>
      <c r="H38" s="713"/>
      <c r="I38" s="713"/>
      <c r="J38" s="713"/>
      <c r="K38" s="713"/>
      <c r="L38" s="713"/>
      <c r="M38" s="90"/>
      <c r="N38" s="45"/>
    </row>
    <row r="39" spans="1:14" ht="18" customHeight="1" x14ac:dyDescent="0.4">
      <c r="A39" s="36"/>
      <c r="B39" s="728" t="s">
        <v>698</v>
      </c>
      <c r="C39" s="713"/>
      <c r="D39" s="713"/>
      <c r="E39" s="713"/>
      <c r="F39" s="713"/>
      <c r="G39" s="713"/>
      <c r="H39" s="713"/>
      <c r="I39" s="713"/>
      <c r="J39" s="713"/>
      <c r="K39" s="713"/>
      <c r="L39" s="713"/>
      <c r="M39" s="90"/>
      <c r="N39" s="45"/>
    </row>
    <row r="40" spans="1:14" s="381" customFormat="1" ht="16.5" customHeight="1" x14ac:dyDescent="0.4">
      <c r="A40" s="36"/>
      <c r="B40" s="728" t="s">
        <v>391</v>
      </c>
      <c r="C40" s="713"/>
      <c r="D40" s="713"/>
      <c r="E40" s="713"/>
      <c r="F40" s="713"/>
      <c r="G40" s="713"/>
      <c r="H40" s="713"/>
      <c r="I40" s="713"/>
      <c r="J40" s="713"/>
      <c r="K40" s="713"/>
      <c r="L40" s="713"/>
      <c r="M40" s="379"/>
      <c r="N40" s="380"/>
    </row>
    <row r="41" spans="1:14" ht="8.25" customHeight="1" x14ac:dyDescent="0.4">
      <c r="A41" s="36"/>
      <c r="B41" s="122"/>
      <c r="C41" s="90"/>
      <c r="D41" s="90"/>
      <c r="E41" s="90"/>
      <c r="F41" s="90"/>
      <c r="G41" s="90"/>
      <c r="H41" s="90"/>
      <c r="I41" s="90"/>
      <c r="J41" s="90"/>
      <c r="K41" s="90"/>
      <c r="L41" s="90"/>
      <c r="M41" s="90"/>
      <c r="N41" s="45"/>
    </row>
    <row r="42" spans="1:14" s="2" customFormat="1" ht="15.6" customHeight="1" x14ac:dyDescent="0.3">
      <c r="A42" s="378"/>
      <c r="B42" s="712" t="s">
        <v>368</v>
      </c>
      <c r="C42" s="713"/>
      <c r="D42" s="713"/>
      <c r="E42" s="713"/>
      <c r="F42" s="713"/>
      <c r="G42" s="713"/>
      <c r="H42" s="713"/>
      <c r="I42" s="713"/>
      <c r="J42" s="713"/>
      <c r="K42" s="713"/>
      <c r="L42" s="713"/>
      <c r="M42" s="105"/>
      <c r="N42" s="115"/>
    </row>
    <row r="43" spans="1:14" s="2" customFormat="1" ht="16.5" customHeight="1" x14ac:dyDescent="0.4">
      <c r="A43" s="36"/>
      <c r="B43" s="726" t="s">
        <v>379</v>
      </c>
      <c r="C43" s="713"/>
      <c r="D43" s="713"/>
      <c r="E43" s="713"/>
      <c r="F43" s="713"/>
      <c r="G43" s="713"/>
      <c r="H43" s="713"/>
      <c r="I43" s="713"/>
      <c r="J43" s="713"/>
      <c r="K43" s="713"/>
      <c r="L43" s="713"/>
      <c r="M43" s="90"/>
      <c r="N43" s="45"/>
    </row>
    <row r="44" spans="1:14" s="2" customFormat="1" ht="26.25" customHeight="1" x14ac:dyDescent="0.3">
      <c r="A44" s="104"/>
      <c r="B44" s="712" t="s">
        <v>366</v>
      </c>
      <c r="C44" s="713"/>
      <c r="D44" s="713"/>
      <c r="E44" s="713"/>
      <c r="F44" s="713"/>
      <c r="G44" s="713"/>
      <c r="H44" s="713"/>
      <c r="I44" s="713"/>
      <c r="J44" s="713"/>
      <c r="K44" s="713"/>
      <c r="L44" s="713"/>
      <c r="M44" s="108"/>
      <c r="N44" s="45"/>
    </row>
    <row r="45" spans="1:14" s="2" customFormat="1" ht="23.25" customHeight="1" x14ac:dyDescent="0.3">
      <c r="A45" s="36"/>
      <c r="B45" s="92" t="s">
        <v>224</v>
      </c>
      <c r="C45" s="724" t="s">
        <v>369</v>
      </c>
      <c r="D45" s="724"/>
      <c r="E45" s="724"/>
      <c r="F45" s="724"/>
      <c r="G45" s="724"/>
      <c r="H45" s="724"/>
      <c r="I45" s="724"/>
      <c r="J45" s="724"/>
      <c r="K45" s="724"/>
      <c r="L45" s="724"/>
      <c r="M45" s="190"/>
      <c r="N45" s="45"/>
    </row>
    <row r="46" spans="1:14" s="2" customFormat="1" ht="16.5" customHeight="1" x14ac:dyDescent="0.3">
      <c r="A46" s="36"/>
      <c r="B46" s="83"/>
      <c r="C46" s="95"/>
      <c r="D46" s="712" t="s">
        <v>683</v>
      </c>
      <c r="E46" s="717"/>
      <c r="F46" s="717"/>
      <c r="G46" s="717"/>
      <c r="H46" s="717"/>
      <c r="I46" s="717"/>
      <c r="J46" s="717"/>
      <c r="K46" s="717"/>
      <c r="L46" s="717"/>
      <c r="M46" s="95"/>
      <c r="N46" s="45"/>
    </row>
    <row r="47" spans="1:14" s="2" customFormat="1" ht="16.5" customHeight="1" x14ac:dyDescent="0.3">
      <c r="A47" s="36"/>
      <c r="B47" s="83"/>
      <c r="C47" s="95"/>
      <c r="D47" s="712" t="s">
        <v>497</v>
      </c>
      <c r="E47" s="717"/>
      <c r="F47" s="717"/>
      <c r="G47" s="717"/>
      <c r="H47" s="717"/>
      <c r="I47" s="717"/>
      <c r="J47" s="717"/>
      <c r="K47" s="717"/>
      <c r="L47" s="717"/>
      <c r="M47" s="95"/>
      <c r="N47" s="45"/>
    </row>
    <row r="48" spans="1:14" s="2" customFormat="1" ht="26.25" customHeight="1" x14ac:dyDescent="0.3">
      <c r="A48" s="36"/>
      <c r="B48" s="92" t="s">
        <v>224</v>
      </c>
      <c r="C48" s="724" t="s">
        <v>498</v>
      </c>
      <c r="D48" s="725"/>
      <c r="E48" s="725"/>
      <c r="F48" s="725"/>
      <c r="G48" s="725"/>
      <c r="H48" s="725"/>
      <c r="I48" s="725"/>
      <c r="J48" s="725"/>
      <c r="K48" s="725"/>
      <c r="L48" s="725"/>
      <c r="M48" s="191"/>
      <c r="N48" s="45"/>
    </row>
    <row r="49" spans="1:23" s="2" customFormat="1" ht="15.75" customHeight="1" x14ac:dyDescent="0.25">
      <c r="A49" s="36"/>
      <c r="B49" s="94"/>
      <c r="C49" s="95"/>
      <c r="D49" s="718" t="str">
        <f>"for the current year (Year 0 in the application, "&amp;'WK0 - Input data'!$E$23&amp;"). "</f>
        <v xml:space="preserve">for the current year (Year 0 in the application, 2017-18). </v>
      </c>
      <c r="E49" s="717"/>
      <c r="F49" s="717"/>
      <c r="G49" s="717"/>
      <c r="H49" s="717"/>
      <c r="I49" s="717"/>
      <c r="J49" s="717"/>
      <c r="K49" s="717"/>
      <c r="L49" s="717"/>
      <c r="M49" s="95"/>
      <c r="N49" s="45"/>
    </row>
    <row r="50" spans="1:23" s="2" customFormat="1" ht="26.25" customHeight="1" x14ac:dyDescent="0.3">
      <c r="A50" s="36"/>
      <c r="B50" s="110" t="s">
        <v>225</v>
      </c>
      <c r="C50" s="724" t="s">
        <v>499</v>
      </c>
      <c r="D50" s="725"/>
      <c r="E50" s="725"/>
      <c r="F50" s="725"/>
      <c r="G50" s="725"/>
      <c r="H50" s="725"/>
      <c r="I50" s="725"/>
      <c r="J50" s="725"/>
      <c r="K50" s="725"/>
      <c r="L50" s="725"/>
      <c r="M50" s="191"/>
      <c r="N50" s="45"/>
    </row>
    <row r="51" spans="1:23" s="2" customFormat="1" ht="16.5" customHeight="1" x14ac:dyDescent="0.25">
      <c r="A51" s="36"/>
      <c r="B51" s="94"/>
      <c r="C51" s="109"/>
      <c r="D51" s="712" t="str">
        <f>"Income for next year (Year 1 in the application, "&amp;'WK0 - Input data'!$E$24&amp;")."</f>
        <v>Income for next year (Year 1 in the application, 2018-19).</v>
      </c>
      <c r="E51" s="717"/>
      <c r="F51" s="717"/>
      <c r="G51" s="717"/>
      <c r="H51" s="717"/>
      <c r="I51" s="717"/>
      <c r="J51" s="717"/>
      <c r="K51" s="717"/>
      <c r="L51" s="717"/>
      <c r="M51" s="95"/>
      <c r="N51" s="45"/>
    </row>
    <row r="52" spans="1:23" s="2" customFormat="1" ht="26.25" customHeight="1" x14ac:dyDescent="0.3">
      <c r="A52" s="36"/>
      <c r="B52" s="110" t="s">
        <v>225</v>
      </c>
      <c r="C52" s="724" t="s">
        <v>712</v>
      </c>
      <c r="D52" s="725"/>
      <c r="E52" s="725"/>
      <c r="F52" s="725"/>
      <c r="G52" s="725"/>
      <c r="H52" s="725"/>
      <c r="I52" s="725"/>
      <c r="J52" s="725"/>
      <c r="K52" s="725"/>
      <c r="L52" s="725"/>
      <c r="M52" s="191"/>
      <c r="N52" s="198"/>
      <c r="O52" s="193"/>
      <c r="P52" s="193"/>
      <c r="Q52" s="193"/>
      <c r="R52" s="193"/>
      <c r="S52" s="193"/>
      <c r="T52" s="193"/>
      <c r="U52" s="193"/>
      <c r="V52" s="193"/>
      <c r="W52" s="194"/>
    </row>
    <row r="53" spans="1:23" s="2" customFormat="1" ht="16.5" customHeight="1" x14ac:dyDescent="0.25">
      <c r="A53" s="36"/>
      <c r="B53" s="94"/>
      <c r="C53" s="109"/>
      <c r="D53" s="712" t="s">
        <v>711</v>
      </c>
      <c r="E53" s="717"/>
      <c r="F53" s="717"/>
      <c r="G53" s="717"/>
      <c r="H53" s="717"/>
      <c r="I53" s="717"/>
      <c r="J53" s="717"/>
      <c r="K53" s="717"/>
      <c r="L53" s="717"/>
      <c r="M53" s="95"/>
      <c r="N53" s="199"/>
      <c r="O53" s="195"/>
      <c r="P53" s="195"/>
      <c r="Q53" s="195"/>
      <c r="R53" s="195"/>
      <c r="S53" s="195"/>
      <c r="T53" s="195"/>
      <c r="U53" s="195"/>
      <c r="V53" s="195"/>
      <c r="W53" s="195"/>
    </row>
    <row r="54" spans="1:23" s="2" customFormat="1" ht="26.25" customHeight="1" x14ac:dyDescent="0.3">
      <c r="A54" s="36"/>
      <c r="B54" s="110" t="s">
        <v>225</v>
      </c>
      <c r="C54" s="724" t="s">
        <v>500</v>
      </c>
      <c r="D54" s="725"/>
      <c r="E54" s="725"/>
      <c r="F54" s="725"/>
      <c r="G54" s="725"/>
      <c r="H54" s="725"/>
      <c r="I54" s="725"/>
      <c r="J54" s="725"/>
      <c r="K54" s="725"/>
      <c r="L54" s="725"/>
      <c r="M54" s="191"/>
      <c r="N54" s="198"/>
      <c r="O54" s="193"/>
      <c r="P54" s="193"/>
      <c r="Q54" s="193"/>
      <c r="R54" s="193"/>
      <c r="S54" s="193"/>
      <c r="T54" s="193"/>
      <c r="U54" s="193"/>
      <c r="V54" s="193"/>
      <c r="W54" s="196"/>
    </row>
    <row r="55" spans="1:23" s="2" customFormat="1" ht="16.5" customHeight="1" x14ac:dyDescent="0.25">
      <c r="A55" s="36"/>
      <c r="B55" s="94"/>
      <c r="C55" s="95"/>
      <c r="D55" s="712" t="s">
        <v>713</v>
      </c>
      <c r="E55" s="717"/>
      <c r="F55" s="717"/>
      <c r="G55" s="717"/>
      <c r="H55" s="717"/>
      <c r="I55" s="717"/>
      <c r="J55" s="717"/>
      <c r="K55" s="717"/>
      <c r="L55" s="717"/>
      <c r="M55" s="95"/>
      <c r="N55" s="200"/>
      <c r="O55" s="195"/>
      <c r="P55" s="195"/>
      <c r="Q55" s="195"/>
      <c r="R55" s="195"/>
      <c r="S55" s="195"/>
      <c r="T55" s="195"/>
      <c r="U55" s="195"/>
      <c r="V55" s="195"/>
      <c r="W55" s="196"/>
    </row>
    <row r="56" spans="1:23" s="2" customFormat="1" ht="25.5" customHeight="1" x14ac:dyDescent="0.3">
      <c r="A56" s="36"/>
      <c r="B56" s="110" t="s">
        <v>225</v>
      </c>
      <c r="C56" s="724" t="s">
        <v>556</v>
      </c>
      <c r="D56" s="725"/>
      <c r="E56" s="725"/>
      <c r="F56" s="725"/>
      <c r="G56" s="725"/>
      <c r="H56" s="725"/>
      <c r="I56" s="725"/>
      <c r="J56" s="725"/>
      <c r="K56" s="725"/>
      <c r="L56" s="725"/>
      <c r="M56" s="191"/>
      <c r="N56" s="197"/>
      <c r="O56" s="196"/>
      <c r="P56" s="196"/>
      <c r="Q56" s="196"/>
      <c r="R56" s="196"/>
      <c r="S56" s="196"/>
      <c r="T56" s="196"/>
      <c r="U56" s="196"/>
      <c r="V56" s="196"/>
      <c r="W56" s="196"/>
    </row>
    <row r="57" spans="1:23" s="2" customFormat="1" ht="16.5" customHeight="1" x14ac:dyDescent="0.25">
      <c r="A57" s="36"/>
      <c r="B57" s="94"/>
      <c r="C57" s="95"/>
      <c r="D57" s="712" t="s">
        <v>714</v>
      </c>
      <c r="E57" s="717"/>
      <c r="F57" s="717"/>
      <c r="G57" s="717"/>
      <c r="H57" s="717"/>
      <c r="I57" s="717"/>
      <c r="J57" s="717"/>
      <c r="K57" s="717"/>
      <c r="L57" s="717"/>
      <c r="M57" s="95"/>
      <c r="N57" s="197"/>
      <c r="O57" s="189"/>
      <c r="P57" s="189"/>
      <c r="Q57" s="189"/>
      <c r="R57" s="189"/>
      <c r="S57" s="189"/>
      <c r="T57" s="189"/>
      <c r="U57" s="189"/>
      <c r="V57" s="189"/>
      <c r="W57" s="189"/>
    </row>
    <row r="58" spans="1:23" s="2" customFormat="1" ht="16.5" customHeight="1" x14ac:dyDescent="0.25">
      <c r="A58" s="36"/>
      <c r="B58" s="94"/>
      <c r="C58" s="95"/>
      <c r="D58" s="712" t="s">
        <v>715</v>
      </c>
      <c r="E58" s="717"/>
      <c r="F58" s="717"/>
      <c r="G58" s="717"/>
      <c r="H58" s="717"/>
      <c r="I58" s="717"/>
      <c r="J58" s="717"/>
      <c r="K58" s="717"/>
      <c r="L58" s="717"/>
      <c r="M58" s="95"/>
      <c r="N58" s="45"/>
    </row>
    <row r="59" spans="1:23" s="2" customFormat="1" ht="21" customHeight="1" x14ac:dyDescent="0.3">
      <c r="A59" s="36"/>
      <c r="B59" s="110" t="s">
        <v>225</v>
      </c>
      <c r="C59" s="724" t="s">
        <v>716</v>
      </c>
      <c r="D59" s="713"/>
      <c r="E59" s="713"/>
      <c r="F59" s="713"/>
      <c r="G59" s="713"/>
      <c r="H59" s="713"/>
      <c r="I59" s="713"/>
      <c r="J59" s="713"/>
      <c r="K59" s="713"/>
      <c r="L59" s="713"/>
      <c r="M59" s="204"/>
      <c r="N59" s="197"/>
    </row>
    <row r="60" spans="1:23" s="2" customFormat="1" ht="16.5" customHeight="1" x14ac:dyDescent="0.25">
      <c r="A60" s="36"/>
      <c r="B60" s="94"/>
      <c r="C60" s="95"/>
      <c r="D60" s="712" t="s">
        <v>684</v>
      </c>
      <c r="E60" s="717"/>
      <c r="F60" s="717"/>
      <c r="G60" s="717"/>
      <c r="H60" s="717"/>
      <c r="I60" s="717"/>
      <c r="J60" s="717"/>
      <c r="K60" s="717"/>
      <c r="L60" s="717"/>
      <c r="M60" s="95"/>
      <c r="N60" s="45"/>
    </row>
    <row r="61" spans="1:23" s="2" customFormat="1" ht="18.75" customHeight="1" x14ac:dyDescent="0.3">
      <c r="A61" s="36"/>
      <c r="B61" s="110" t="s">
        <v>225</v>
      </c>
      <c r="C61" s="724" t="s">
        <v>480</v>
      </c>
      <c r="D61" s="713"/>
      <c r="E61" s="713"/>
      <c r="F61" s="713"/>
      <c r="G61" s="713"/>
      <c r="H61" s="713"/>
      <c r="I61" s="713"/>
      <c r="J61" s="713"/>
      <c r="K61" s="713"/>
      <c r="L61" s="713"/>
      <c r="M61" s="95"/>
      <c r="N61" s="45"/>
    </row>
    <row r="62" spans="1:23" s="2" customFormat="1" ht="16.5" customHeight="1" x14ac:dyDescent="0.3">
      <c r="A62" s="36"/>
      <c r="B62" s="110"/>
      <c r="C62" s="190"/>
      <c r="D62" s="335" t="s">
        <v>481</v>
      </c>
      <c r="E62" s="190"/>
      <c r="F62" s="190"/>
      <c r="G62" s="190"/>
      <c r="H62" s="190"/>
      <c r="I62" s="190"/>
      <c r="J62" s="190"/>
      <c r="K62" s="190"/>
      <c r="L62" s="190"/>
      <c r="M62" s="95"/>
      <c r="N62" s="45"/>
    </row>
    <row r="63" spans="1:23" s="2" customFormat="1" ht="21.75" customHeight="1" x14ac:dyDescent="0.25">
      <c r="A63" s="36"/>
      <c r="B63" s="712" t="s">
        <v>370</v>
      </c>
      <c r="C63" s="713"/>
      <c r="D63" s="713"/>
      <c r="E63" s="713"/>
      <c r="F63" s="713"/>
      <c r="G63" s="713"/>
      <c r="H63" s="713"/>
      <c r="I63" s="713"/>
      <c r="J63" s="713"/>
      <c r="K63" s="713"/>
      <c r="L63" s="713"/>
      <c r="M63" s="95"/>
      <c r="N63" s="45"/>
    </row>
    <row r="64" spans="1:23" s="2" customFormat="1" ht="14.25" customHeight="1" x14ac:dyDescent="0.25">
      <c r="A64" s="36"/>
      <c r="B64" s="323"/>
      <c r="C64" s="121"/>
      <c r="D64" s="96"/>
      <c r="E64" s="96"/>
      <c r="F64" s="96"/>
      <c r="G64" s="96"/>
      <c r="H64" s="96"/>
      <c r="I64" s="96"/>
      <c r="J64" s="96"/>
      <c r="K64" s="96"/>
      <c r="L64" s="96"/>
      <c r="M64" s="96"/>
      <c r="N64" s="87"/>
    </row>
    <row r="65" spans="1:17" s="2" customFormat="1" ht="10.5" customHeight="1" x14ac:dyDescent="0.25">
      <c r="A65" s="36"/>
      <c r="B65" s="324"/>
      <c r="C65" s="144"/>
      <c r="D65" s="98"/>
      <c r="E65" s="98"/>
      <c r="F65" s="98"/>
      <c r="G65" s="98"/>
      <c r="H65" s="98"/>
      <c r="I65" s="98"/>
      <c r="J65" s="98"/>
      <c r="K65" s="98"/>
      <c r="L65" s="98"/>
      <c r="M65" s="98"/>
      <c r="N65" s="71"/>
    </row>
    <row r="66" spans="1:17" s="2" customFormat="1" ht="21" x14ac:dyDescent="0.4">
      <c r="A66" s="38"/>
      <c r="B66" s="182" t="s">
        <v>5</v>
      </c>
      <c r="C66" s="109"/>
      <c r="D66" s="42"/>
      <c r="E66" s="95"/>
      <c r="F66" s="95"/>
      <c r="G66" s="95"/>
      <c r="H66" s="95"/>
      <c r="I66" s="95"/>
      <c r="J66" s="95"/>
      <c r="K66" s="95"/>
      <c r="L66" s="95"/>
      <c r="M66" s="95"/>
      <c r="N66" s="45"/>
      <c r="O66" s="24"/>
      <c r="P66" s="24"/>
      <c r="Q66" s="24"/>
    </row>
    <row r="67" spans="1:17" s="2" customFormat="1" ht="5.25" customHeight="1" x14ac:dyDescent="0.3">
      <c r="A67" s="36"/>
      <c r="B67" s="110"/>
      <c r="C67" s="94"/>
      <c r="D67" s="95"/>
      <c r="E67" s="95"/>
      <c r="F67" s="95"/>
      <c r="G67" s="95"/>
      <c r="H67" s="95"/>
      <c r="I67" s="95"/>
      <c r="J67" s="95"/>
      <c r="K67" s="95"/>
      <c r="L67" s="95"/>
      <c r="M67" s="95"/>
      <c r="N67" s="45"/>
    </row>
    <row r="68" spans="1:17" s="2" customFormat="1" ht="15.75" customHeight="1" x14ac:dyDescent="0.3">
      <c r="A68" s="36"/>
      <c r="B68" s="110" t="s">
        <v>225</v>
      </c>
      <c r="C68" s="712" t="s">
        <v>520</v>
      </c>
      <c r="D68" s="713"/>
      <c r="E68" s="713"/>
      <c r="F68" s="713"/>
      <c r="G68" s="713"/>
      <c r="H68" s="713"/>
      <c r="I68" s="713"/>
      <c r="J68" s="713"/>
      <c r="K68" s="713"/>
      <c r="L68" s="713"/>
      <c r="M68" s="95"/>
      <c r="N68" s="45"/>
    </row>
    <row r="69" spans="1:17" s="2" customFormat="1" ht="15.75" customHeight="1" x14ac:dyDescent="0.3">
      <c r="A69" s="36"/>
      <c r="B69" s="110"/>
      <c r="C69" s="203"/>
      <c r="D69" s="203"/>
      <c r="E69" s="203"/>
      <c r="F69" s="203"/>
      <c r="G69" s="203"/>
      <c r="H69" s="203"/>
      <c r="I69" s="203"/>
      <c r="J69" s="203"/>
      <c r="K69" s="203"/>
      <c r="L69" s="203"/>
      <c r="M69" s="95"/>
      <c r="N69" s="45"/>
    </row>
    <row r="70" spans="1:17" s="2" customFormat="1" ht="15.75" customHeight="1" x14ac:dyDescent="0.3">
      <c r="A70" s="36"/>
      <c r="B70" s="110" t="s">
        <v>225</v>
      </c>
      <c r="C70" s="712" t="s">
        <v>694</v>
      </c>
      <c r="D70" s="713"/>
      <c r="E70" s="713"/>
      <c r="F70" s="713"/>
      <c r="G70" s="713"/>
      <c r="H70" s="713"/>
      <c r="I70" s="713"/>
      <c r="J70" s="713"/>
      <c r="K70" s="713"/>
      <c r="L70" s="713"/>
      <c r="M70" s="95"/>
      <c r="N70" s="45"/>
    </row>
    <row r="71" spans="1:17" s="2" customFormat="1" ht="15.75" customHeight="1" x14ac:dyDescent="0.3">
      <c r="A71" s="36"/>
      <c r="B71" s="110"/>
      <c r="C71" s="203"/>
      <c r="D71" s="203"/>
      <c r="E71" s="203"/>
      <c r="F71" s="203"/>
      <c r="G71" s="203"/>
      <c r="H71" s="203"/>
      <c r="I71" s="203"/>
      <c r="J71" s="203"/>
      <c r="K71" s="203"/>
      <c r="L71" s="203"/>
      <c r="M71" s="95"/>
      <c r="N71" s="45"/>
    </row>
    <row r="72" spans="1:17" s="2" customFormat="1" ht="15.75" customHeight="1" x14ac:dyDescent="0.3">
      <c r="A72" s="36"/>
      <c r="B72" s="110" t="s">
        <v>225</v>
      </c>
      <c r="C72" s="712" t="s">
        <v>525</v>
      </c>
      <c r="D72" s="712"/>
      <c r="E72" s="712"/>
      <c r="F72" s="712"/>
      <c r="G72" s="712"/>
      <c r="H72" s="712"/>
      <c r="I72" s="712"/>
      <c r="J72" s="712"/>
      <c r="K72" s="712"/>
      <c r="L72" s="712"/>
      <c r="M72" s="95"/>
      <c r="N72" s="45"/>
    </row>
    <row r="73" spans="1:17" s="2" customFormat="1" ht="15.75" customHeight="1" x14ac:dyDescent="0.3">
      <c r="A73" s="36"/>
      <c r="B73" s="110"/>
      <c r="C73" s="203"/>
      <c r="D73" s="203"/>
      <c r="E73" s="203"/>
      <c r="F73" s="203"/>
      <c r="G73" s="203"/>
      <c r="H73" s="203"/>
      <c r="I73" s="203"/>
      <c r="J73" s="203"/>
      <c r="K73" s="203"/>
      <c r="L73" s="203"/>
      <c r="M73" s="95"/>
      <c r="N73" s="45"/>
    </row>
    <row r="74" spans="1:17" s="2" customFormat="1" ht="15.75" customHeight="1" x14ac:dyDescent="0.3">
      <c r="A74" s="36"/>
      <c r="B74" s="110" t="s">
        <v>225</v>
      </c>
      <c r="C74" s="712" t="s">
        <v>685</v>
      </c>
      <c r="D74" s="713"/>
      <c r="E74" s="713"/>
      <c r="F74" s="713"/>
      <c r="G74" s="713"/>
      <c r="H74" s="713"/>
      <c r="I74" s="713"/>
      <c r="J74" s="713"/>
      <c r="K74" s="713"/>
      <c r="L74" s="713"/>
      <c r="M74" s="95"/>
      <c r="N74" s="45"/>
    </row>
    <row r="75" spans="1:17" s="2" customFormat="1" ht="15.75" customHeight="1" x14ac:dyDescent="0.3">
      <c r="A75" s="36"/>
      <c r="B75" s="110"/>
      <c r="C75" s="203"/>
      <c r="D75" s="203"/>
      <c r="E75" s="203"/>
      <c r="F75" s="203"/>
      <c r="G75" s="203"/>
      <c r="H75" s="203"/>
      <c r="I75" s="203"/>
      <c r="J75" s="203"/>
      <c r="K75" s="203"/>
      <c r="L75" s="203"/>
      <c r="M75" s="95"/>
      <c r="N75" s="45"/>
    </row>
    <row r="76" spans="1:17" s="2" customFormat="1" ht="15.75" customHeight="1" x14ac:dyDescent="0.3">
      <c r="A76" s="36"/>
      <c r="B76" s="110" t="s">
        <v>225</v>
      </c>
      <c r="C76" s="712" t="s">
        <v>521</v>
      </c>
      <c r="D76" s="713"/>
      <c r="E76" s="713"/>
      <c r="F76" s="713"/>
      <c r="G76" s="713"/>
      <c r="H76" s="713"/>
      <c r="I76" s="713"/>
      <c r="J76" s="713"/>
      <c r="K76" s="713"/>
      <c r="L76" s="713"/>
      <c r="M76" s="95"/>
      <c r="N76" s="45"/>
    </row>
    <row r="77" spans="1:17" s="2" customFormat="1" ht="15.75" customHeight="1" x14ac:dyDescent="0.3">
      <c r="A77" s="203"/>
      <c r="B77" s="110"/>
      <c r="C77" s="203"/>
      <c r="D77" s="203"/>
      <c r="E77" s="203"/>
      <c r="F77" s="203"/>
      <c r="G77" s="203"/>
      <c r="H77" s="203"/>
      <c r="I77" s="203"/>
      <c r="J77" s="203"/>
      <c r="K77" s="203"/>
      <c r="L77" s="203"/>
      <c r="M77" s="95"/>
      <c r="N77" s="45"/>
    </row>
    <row r="78" spans="1:17" s="2" customFormat="1" ht="18" customHeight="1" x14ac:dyDescent="0.3">
      <c r="A78" s="36"/>
      <c r="B78" s="110" t="s">
        <v>225</v>
      </c>
      <c r="C78" s="712" t="s">
        <v>620</v>
      </c>
      <c r="D78" s="713"/>
      <c r="E78" s="713"/>
      <c r="F78" s="713"/>
      <c r="G78" s="713"/>
      <c r="H78" s="713"/>
      <c r="I78" s="713"/>
      <c r="J78" s="713"/>
      <c r="K78" s="713"/>
      <c r="L78" s="713"/>
      <c r="M78" s="95"/>
      <c r="N78" s="45"/>
    </row>
    <row r="79" spans="1:17" s="2" customFormat="1" ht="20.25" customHeight="1" x14ac:dyDescent="0.3">
      <c r="A79" s="36"/>
      <c r="B79" s="159"/>
      <c r="C79" s="110" t="s">
        <v>226</v>
      </c>
      <c r="D79" s="712" t="s">
        <v>371</v>
      </c>
      <c r="E79" s="717"/>
      <c r="F79" s="717"/>
      <c r="G79" s="717"/>
      <c r="H79" s="717"/>
      <c r="I79" s="717"/>
      <c r="J79" s="717"/>
      <c r="K79" s="717"/>
      <c r="L79" s="717"/>
      <c r="M79" s="95"/>
      <c r="N79" s="45"/>
    </row>
    <row r="80" spans="1:17" s="2" customFormat="1" ht="15.6" x14ac:dyDescent="0.3">
      <c r="A80" s="36"/>
      <c r="B80" s="159"/>
      <c r="C80" s="110"/>
      <c r="D80" s="712" t="s">
        <v>522</v>
      </c>
      <c r="E80" s="717"/>
      <c r="F80" s="717"/>
      <c r="G80" s="717"/>
      <c r="H80" s="717"/>
      <c r="I80" s="717"/>
      <c r="J80" s="717"/>
      <c r="K80" s="717"/>
      <c r="L80" s="717"/>
      <c r="M80" s="95"/>
      <c r="N80" s="45"/>
    </row>
    <row r="81" spans="1:14" s="2" customFormat="1" ht="15.6" x14ac:dyDescent="0.3">
      <c r="A81" s="36"/>
      <c r="B81" s="159"/>
      <c r="C81" s="110" t="s">
        <v>226</v>
      </c>
      <c r="D81" s="203" t="s">
        <v>573</v>
      </c>
      <c r="E81" s="94"/>
      <c r="F81" s="94"/>
      <c r="G81" s="94"/>
      <c r="H81" s="94"/>
      <c r="I81" s="94"/>
      <c r="J81" s="94"/>
      <c r="K81" s="94"/>
      <c r="L81" s="94"/>
      <c r="M81" s="95"/>
      <c r="N81" s="45"/>
    </row>
    <row r="82" spans="1:14" s="2" customFormat="1" ht="15.6" x14ac:dyDescent="0.3">
      <c r="A82" s="36"/>
      <c r="B82" s="159"/>
      <c r="C82" s="110"/>
      <c r="D82" s="203"/>
      <c r="E82" s="94"/>
      <c r="F82" s="94"/>
      <c r="G82" s="94"/>
      <c r="H82" s="94"/>
      <c r="I82" s="94"/>
      <c r="J82" s="94"/>
      <c r="K82" s="94"/>
      <c r="L82" s="94"/>
      <c r="M82" s="95"/>
      <c r="N82" s="45"/>
    </row>
    <row r="83" spans="1:14" s="2" customFormat="1" ht="15.6" x14ac:dyDescent="0.3">
      <c r="A83" s="36"/>
      <c r="B83" s="110" t="s">
        <v>225</v>
      </c>
      <c r="C83" s="712" t="s">
        <v>523</v>
      </c>
      <c r="D83" s="712"/>
      <c r="E83" s="712"/>
      <c r="F83" s="712"/>
      <c r="G83" s="712"/>
      <c r="H83" s="712"/>
      <c r="I83" s="712"/>
      <c r="J83" s="712"/>
      <c r="K83" s="712"/>
      <c r="L83" s="712"/>
      <c r="M83" s="95"/>
      <c r="N83" s="45"/>
    </row>
    <row r="84" spans="1:14" s="2" customFormat="1" ht="15.6" x14ac:dyDescent="0.3">
      <c r="A84" s="36"/>
      <c r="B84" s="159"/>
      <c r="C84" s="110" t="s">
        <v>226</v>
      </c>
      <c r="D84" s="712" t="s">
        <v>524</v>
      </c>
      <c r="E84" s="717"/>
      <c r="F84" s="717"/>
      <c r="G84" s="717"/>
      <c r="H84" s="717"/>
      <c r="I84" s="717"/>
      <c r="J84" s="717"/>
      <c r="K84" s="717"/>
      <c r="L84" s="717"/>
      <c r="M84" s="95"/>
      <c r="N84" s="45"/>
    </row>
    <row r="85" spans="1:14" s="2" customFormat="1" ht="15.75" customHeight="1" x14ac:dyDescent="0.3">
      <c r="A85" s="36"/>
      <c r="B85" s="159"/>
      <c r="C85" s="110"/>
      <c r="D85" s="95"/>
      <c r="E85" s="95"/>
      <c r="F85" s="95"/>
      <c r="G85" s="95"/>
      <c r="H85" s="95"/>
      <c r="I85" s="95"/>
      <c r="J85" s="95"/>
      <c r="K85" s="95"/>
      <c r="L85" s="95"/>
      <c r="M85" s="95"/>
      <c r="N85" s="45"/>
    </row>
    <row r="86" spans="1:14" s="2" customFormat="1" ht="18" customHeight="1" x14ac:dyDescent="0.3">
      <c r="A86" s="36"/>
      <c r="B86" s="110" t="s">
        <v>225</v>
      </c>
      <c r="C86" s="712" t="s">
        <v>736</v>
      </c>
      <c r="D86" s="713"/>
      <c r="E86" s="713"/>
      <c r="F86" s="713"/>
      <c r="G86" s="713"/>
      <c r="H86" s="713"/>
      <c r="I86" s="713"/>
      <c r="J86" s="713"/>
      <c r="K86" s="713"/>
      <c r="L86" s="713"/>
      <c r="M86" s="95"/>
      <c r="N86" s="45"/>
    </row>
    <row r="87" spans="1:14" s="2" customFormat="1" ht="15.75" customHeight="1" x14ac:dyDescent="0.3">
      <c r="A87" s="36"/>
      <c r="B87" s="110"/>
      <c r="C87" s="110" t="s">
        <v>226</v>
      </c>
      <c r="D87" s="203" t="s">
        <v>526</v>
      </c>
      <c r="E87" s="94"/>
      <c r="F87" s="94"/>
      <c r="G87" s="94"/>
      <c r="H87" s="94"/>
      <c r="I87" s="94"/>
      <c r="J87" s="94"/>
      <c r="K87" s="94"/>
      <c r="L87" s="94"/>
      <c r="M87" s="95"/>
      <c r="N87" s="45"/>
    </row>
    <row r="88" spans="1:14" s="2" customFormat="1" ht="15.75" customHeight="1" x14ac:dyDescent="0.3">
      <c r="A88" s="36"/>
      <c r="B88" s="159"/>
      <c r="C88" s="110"/>
      <c r="D88" s="712" t="s">
        <v>527</v>
      </c>
      <c r="E88" s="717"/>
      <c r="F88" s="717"/>
      <c r="G88" s="717"/>
      <c r="H88" s="717"/>
      <c r="I88" s="717"/>
      <c r="J88" s="717"/>
      <c r="K88" s="717"/>
      <c r="L88" s="717"/>
      <c r="M88" s="95"/>
      <c r="N88" s="45"/>
    </row>
    <row r="89" spans="1:14" s="2" customFormat="1" ht="6.75" customHeight="1" x14ac:dyDescent="0.3">
      <c r="A89" s="36"/>
      <c r="B89" s="159"/>
      <c r="C89" s="110"/>
      <c r="D89" s="95"/>
      <c r="E89" s="95"/>
      <c r="F89" s="95"/>
      <c r="G89" s="95"/>
      <c r="H89" s="95"/>
      <c r="I89" s="95"/>
      <c r="J89" s="95"/>
      <c r="K89" s="95"/>
      <c r="L89" s="95"/>
      <c r="M89" s="95"/>
      <c r="N89" s="45"/>
    </row>
    <row r="90" spans="1:14" s="2" customFormat="1" ht="17.25" customHeight="1" x14ac:dyDescent="0.3">
      <c r="A90" s="36"/>
      <c r="B90" s="110" t="s">
        <v>225</v>
      </c>
      <c r="C90" s="712" t="s">
        <v>528</v>
      </c>
      <c r="D90" s="713"/>
      <c r="E90" s="713"/>
      <c r="F90" s="713"/>
      <c r="G90" s="713"/>
      <c r="H90" s="713"/>
      <c r="I90" s="713"/>
      <c r="J90" s="713"/>
      <c r="K90" s="713"/>
      <c r="L90" s="713"/>
      <c r="M90" s="95"/>
      <c r="N90" s="45"/>
    </row>
    <row r="91" spans="1:14" s="2" customFormat="1" ht="17.25" customHeight="1" x14ac:dyDescent="0.3">
      <c r="A91" s="36"/>
      <c r="B91" s="110"/>
      <c r="C91" s="712" t="s">
        <v>557</v>
      </c>
      <c r="D91" s="713"/>
      <c r="E91" s="713"/>
      <c r="F91" s="713"/>
      <c r="G91" s="713"/>
      <c r="H91" s="713"/>
      <c r="I91" s="713"/>
      <c r="J91" s="713"/>
      <c r="K91" s="713"/>
      <c r="L91" s="713"/>
      <c r="M91" s="95"/>
      <c r="N91" s="45"/>
    </row>
    <row r="92" spans="1:14" s="2" customFormat="1" ht="19.5" customHeight="1" x14ac:dyDescent="0.3">
      <c r="A92" s="36"/>
      <c r="B92" s="110"/>
      <c r="C92" s="110" t="s">
        <v>226</v>
      </c>
      <c r="D92" s="712" t="s">
        <v>699</v>
      </c>
      <c r="E92" s="717"/>
      <c r="F92" s="717"/>
      <c r="G92" s="717"/>
      <c r="H92" s="717"/>
      <c r="I92" s="717"/>
      <c r="J92" s="717"/>
      <c r="K92" s="717"/>
      <c r="L92" s="717"/>
      <c r="M92" s="95"/>
      <c r="N92" s="45"/>
    </row>
    <row r="93" spans="1:14" ht="15.6" x14ac:dyDescent="0.3">
      <c r="A93" s="36"/>
      <c r="B93" s="110"/>
      <c r="C93" s="184"/>
      <c r="D93" s="721" t="s">
        <v>529</v>
      </c>
      <c r="E93" s="713"/>
      <c r="F93" s="713"/>
      <c r="G93" s="713"/>
      <c r="H93" s="713"/>
      <c r="I93" s="713"/>
      <c r="J93" s="713"/>
      <c r="K93" s="713"/>
      <c r="L93" s="713"/>
      <c r="M93" s="95"/>
      <c r="N93" s="45"/>
    </row>
    <row r="94" spans="1:14" ht="6" customHeight="1" x14ac:dyDescent="0.3">
      <c r="A94" s="36"/>
      <c r="B94" s="110"/>
      <c r="C94" s="110"/>
      <c r="D94" s="95"/>
      <c r="E94" s="95"/>
      <c r="F94" s="95"/>
      <c r="G94" s="95"/>
      <c r="H94" s="95"/>
      <c r="I94" s="95"/>
      <c r="J94" s="95"/>
      <c r="K94" s="95"/>
      <c r="L94" s="95"/>
      <c r="M94" s="95"/>
      <c r="N94" s="45"/>
    </row>
    <row r="95" spans="1:14" ht="6" customHeight="1" x14ac:dyDescent="0.3">
      <c r="A95" s="36"/>
      <c r="B95" s="110"/>
      <c r="C95" s="110"/>
      <c r="D95" s="95"/>
      <c r="E95" s="95"/>
      <c r="F95" s="95"/>
      <c r="G95" s="95"/>
      <c r="H95" s="95"/>
      <c r="I95" s="95"/>
      <c r="J95" s="95"/>
      <c r="K95" s="95"/>
      <c r="L95" s="95"/>
      <c r="M95" s="95"/>
      <c r="N95" s="45"/>
    </row>
    <row r="96" spans="1:14" ht="15.6" x14ac:dyDescent="0.3">
      <c r="A96" s="36"/>
      <c r="B96" s="110" t="s">
        <v>225</v>
      </c>
      <c r="C96" s="712" t="s">
        <v>621</v>
      </c>
      <c r="D96" s="722"/>
      <c r="E96" s="722"/>
      <c r="F96" s="722"/>
      <c r="G96" s="722"/>
      <c r="H96" s="722"/>
      <c r="I96" s="722"/>
      <c r="J96" s="722"/>
      <c r="K96" s="722"/>
      <c r="L96" s="722"/>
      <c r="M96" s="95"/>
      <c r="N96" s="45"/>
    </row>
    <row r="97" spans="1:14" ht="18" customHeight="1" x14ac:dyDescent="0.3">
      <c r="A97" s="36"/>
      <c r="B97" s="110"/>
      <c r="C97" s="110" t="s">
        <v>226</v>
      </c>
      <c r="D97" s="712" t="s">
        <v>392</v>
      </c>
      <c r="E97" s="712"/>
      <c r="F97" s="712"/>
      <c r="G97" s="712"/>
      <c r="H97" s="712"/>
      <c r="I97" s="712"/>
      <c r="J97" s="712"/>
      <c r="K97" s="712"/>
      <c r="L97" s="712"/>
      <c r="M97" s="95"/>
      <c r="N97" s="45"/>
    </row>
    <row r="98" spans="1:14" ht="16.5" customHeight="1" x14ac:dyDescent="0.3">
      <c r="A98" s="36"/>
      <c r="B98" s="110"/>
      <c r="C98" s="94"/>
      <c r="D98" s="712" t="s">
        <v>530</v>
      </c>
      <c r="E98" s="713"/>
      <c r="F98" s="713"/>
      <c r="G98" s="713"/>
      <c r="H98" s="713"/>
      <c r="I98" s="713"/>
      <c r="J98" s="713"/>
      <c r="K98" s="713"/>
      <c r="L98" s="713"/>
      <c r="M98" s="95"/>
      <c r="N98" s="45"/>
    </row>
    <row r="99" spans="1:14" ht="8.25" customHeight="1" x14ac:dyDescent="0.25">
      <c r="A99" s="36"/>
      <c r="B99" s="94"/>
      <c r="C99" s="94"/>
      <c r="D99" s="95"/>
      <c r="E99" s="95"/>
      <c r="F99" s="95"/>
      <c r="G99" s="95"/>
      <c r="H99" s="95"/>
      <c r="I99" s="95"/>
      <c r="J99" s="95"/>
      <c r="K99" s="95"/>
      <c r="L99" s="95"/>
      <c r="M99" s="95"/>
      <c r="N99" s="45"/>
    </row>
    <row r="100" spans="1:14" ht="9" customHeight="1" x14ac:dyDescent="0.3">
      <c r="A100" s="36"/>
      <c r="B100" s="130"/>
      <c r="C100" s="32"/>
      <c r="D100" s="32"/>
      <c r="E100" s="98"/>
      <c r="F100" s="98"/>
      <c r="G100" s="98"/>
      <c r="H100" s="98"/>
      <c r="I100" s="98"/>
      <c r="J100" s="98"/>
      <c r="K100" s="98"/>
      <c r="L100" s="98"/>
      <c r="M100" s="98"/>
      <c r="N100" s="71"/>
    </row>
    <row r="101" spans="1:14" ht="21" x14ac:dyDescent="0.4">
      <c r="A101" s="38"/>
      <c r="B101" s="325" t="str">
        <f>"Worksheet 2 - Notional General Income "&amp;'WK0 - Input data'!$E$23</f>
        <v>Worksheet 2 - Notional General Income 2017-18</v>
      </c>
      <c r="C101" s="94"/>
      <c r="D101" s="42"/>
      <c r="E101" s="95"/>
      <c r="F101" s="95"/>
      <c r="G101" s="95"/>
      <c r="H101" s="95"/>
      <c r="I101" s="95"/>
      <c r="J101" s="95"/>
      <c r="K101" s="95"/>
      <c r="L101" s="95"/>
      <c r="M101" s="95"/>
      <c r="N101" s="45"/>
    </row>
    <row r="102" spans="1:14" ht="14.25" customHeight="1" x14ac:dyDescent="0.3">
      <c r="A102" s="36"/>
      <c r="B102" s="99"/>
      <c r="C102" s="94"/>
      <c r="D102" s="42"/>
      <c r="E102" s="95"/>
      <c r="F102" s="95"/>
      <c r="G102" s="95"/>
      <c r="H102" s="95"/>
      <c r="I102" s="95"/>
      <c r="J102" s="95"/>
      <c r="K102" s="95"/>
      <c r="L102" s="95"/>
      <c r="M102" s="95"/>
      <c r="N102" s="45"/>
    </row>
    <row r="103" spans="1:14" ht="15" x14ac:dyDescent="0.25">
      <c r="A103" s="36"/>
      <c r="B103" s="81" t="s">
        <v>558</v>
      </c>
      <c r="C103" s="203"/>
      <c r="D103" s="42"/>
      <c r="E103" s="81"/>
      <c r="F103" s="81"/>
      <c r="G103" s="81"/>
      <c r="H103" s="81"/>
      <c r="I103" s="81"/>
      <c r="J103" s="81"/>
      <c r="K103" s="81"/>
      <c r="L103" s="81"/>
      <c r="M103" s="95"/>
      <c r="N103" s="45"/>
    </row>
    <row r="104" spans="1:14" ht="15" x14ac:dyDescent="0.25">
      <c r="A104" s="36"/>
      <c r="B104" s="81" t="s">
        <v>372</v>
      </c>
      <c r="C104" s="203"/>
      <c r="D104" s="42"/>
      <c r="E104" s="81"/>
      <c r="F104" s="81"/>
      <c r="G104" s="81"/>
      <c r="H104" s="81"/>
      <c r="I104" s="81"/>
      <c r="J104" s="81"/>
      <c r="K104" s="81"/>
      <c r="L104" s="81"/>
      <c r="M104" s="95"/>
      <c r="N104" s="45"/>
    </row>
    <row r="105" spans="1:14" ht="15" x14ac:dyDescent="0.25">
      <c r="A105" s="36"/>
      <c r="B105" s="81" t="s">
        <v>619</v>
      </c>
      <c r="C105" s="203"/>
      <c r="D105" s="42"/>
      <c r="E105" s="81"/>
      <c r="F105" s="81"/>
      <c r="G105" s="81"/>
      <c r="H105" s="81"/>
      <c r="I105" s="81"/>
      <c r="J105" s="81"/>
      <c r="K105" s="81"/>
      <c r="L105" s="81"/>
      <c r="M105" s="95"/>
      <c r="N105" s="45"/>
    </row>
    <row r="106" spans="1:14" ht="15" x14ac:dyDescent="0.25">
      <c r="A106" s="36"/>
      <c r="B106" s="81"/>
      <c r="C106" s="81"/>
      <c r="D106" s="81"/>
      <c r="E106" s="81"/>
      <c r="F106" s="81"/>
      <c r="G106" s="81"/>
      <c r="H106" s="81"/>
      <c r="I106" s="81"/>
      <c r="J106" s="81"/>
      <c r="K106" s="81"/>
      <c r="L106" s="81"/>
      <c r="M106" s="95"/>
      <c r="N106" s="45"/>
    </row>
    <row r="107" spans="1:14" ht="15" x14ac:dyDescent="0.25">
      <c r="A107" s="36"/>
      <c r="B107" s="81"/>
      <c r="C107" s="81"/>
      <c r="D107" s="81"/>
      <c r="E107" s="81"/>
      <c r="F107" s="81"/>
      <c r="G107" s="81"/>
      <c r="H107" s="81"/>
      <c r="I107" s="81"/>
      <c r="J107" s="81"/>
      <c r="K107" s="81"/>
      <c r="L107" s="81"/>
      <c r="M107" s="95"/>
      <c r="N107" s="45"/>
    </row>
    <row r="108" spans="1:14" ht="15" x14ac:dyDescent="0.25">
      <c r="A108" s="36"/>
      <c r="B108" s="81" t="s">
        <v>559</v>
      </c>
      <c r="C108" s="81"/>
      <c r="D108" s="81"/>
      <c r="E108" s="81"/>
      <c r="F108" s="81"/>
      <c r="G108" s="81"/>
      <c r="H108" s="81"/>
      <c r="I108" s="81"/>
      <c r="J108" s="81"/>
      <c r="K108" s="81"/>
      <c r="L108" s="81"/>
      <c r="M108" s="95"/>
      <c r="N108" s="45"/>
    </row>
    <row r="109" spans="1:14" ht="15" x14ac:dyDescent="0.25">
      <c r="A109" s="36"/>
      <c r="B109" s="111"/>
      <c r="C109" s="95"/>
      <c r="D109" s="95"/>
      <c r="E109" s="95"/>
      <c r="F109" s="95"/>
      <c r="G109" s="95"/>
      <c r="H109" s="95"/>
      <c r="I109" s="95"/>
      <c r="J109" s="95"/>
      <c r="K109" s="95"/>
      <c r="L109" s="95"/>
      <c r="M109" s="95"/>
      <c r="N109" s="45"/>
    </row>
    <row r="110" spans="1:14" ht="15.6" x14ac:dyDescent="0.3">
      <c r="A110" s="36"/>
      <c r="B110" s="130"/>
      <c r="C110" s="98"/>
      <c r="D110" s="98"/>
      <c r="E110" s="98"/>
      <c r="F110" s="98"/>
      <c r="G110" s="98"/>
      <c r="H110" s="98"/>
      <c r="I110" s="98"/>
      <c r="J110" s="98"/>
      <c r="K110" s="98"/>
      <c r="L110" s="98"/>
      <c r="M110" s="98"/>
      <c r="N110" s="71"/>
    </row>
    <row r="111" spans="1:14" ht="21" x14ac:dyDescent="0.4">
      <c r="A111" s="38"/>
      <c r="B111" s="325" t="str">
        <f>"Worksheet 3 - Notional General Income "&amp;'WK0 - Input data'!$E$24</f>
        <v>Worksheet 3 - Notional General Income 2018-19</v>
      </c>
      <c r="C111" s="94"/>
      <c r="D111" s="42"/>
      <c r="E111" s="95"/>
      <c r="F111" s="95"/>
      <c r="G111" s="95"/>
      <c r="H111" s="95"/>
      <c r="I111" s="95"/>
      <c r="J111" s="95"/>
      <c r="K111" s="95"/>
      <c r="L111" s="95"/>
      <c r="M111" s="95"/>
      <c r="N111" s="45"/>
    </row>
    <row r="112" spans="1:14" ht="10.5" customHeight="1" x14ac:dyDescent="0.3">
      <c r="A112" s="36"/>
      <c r="B112" s="99"/>
      <c r="C112" s="94"/>
      <c r="D112" s="42"/>
      <c r="E112" s="95"/>
      <c r="F112" s="95"/>
      <c r="G112" s="95"/>
      <c r="H112" s="95"/>
      <c r="I112" s="95"/>
      <c r="J112" s="95"/>
      <c r="K112" s="95"/>
      <c r="L112" s="95"/>
      <c r="M112" s="95"/>
      <c r="N112" s="45"/>
    </row>
    <row r="113" spans="1:14" ht="15" x14ac:dyDescent="0.25">
      <c r="A113" s="36"/>
      <c r="B113" s="203" t="s">
        <v>560</v>
      </c>
      <c r="C113" s="203"/>
      <c r="D113" s="42"/>
      <c r="E113" s="81"/>
      <c r="F113" s="81"/>
      <c r="G113" s="81"/>
      <c r="H113" s="81"/>
      <c r="I113" s="81"/>
      <c r="J113" s="81"/>
      <c r="K113" s="81"/>
      <c r="L113" s="81"/>
      <c r="M113" s="95"/>
      <c r="N113" s="45"/>
    </row>
    <row r="114" spans="1:14" ht="15" x14ac:dyDescent="0.25">
      <c r="A114" s="36"/>
      <c r="B114" s="203" t="s">
        <v>561</v>
      </c>
      <c r="C114" s="203"/>
      <c r="D114" s="42"/>
      <c r="E114" s="81"/>
      <c r="F114" s="81"/>
      <c r="G114" s="81"/>
      <c r="H114" s="81"/>
      <c r="I114" s="81"/>
      <c r="J114" s="81"/>
      <c r="K114" s="81"/>
      <c r="L114" s="81"/>
      <c r="M114" s="95"/>
      <c r="N114" s="45"/>
    </row>
    <row r="115" spans="1:14" ht="15" x14ac:dyDescent="0.25">
      <c r="A115" s="36"/>
      <c r="B115" s="203"/>
      <c r="C115" s="203"/>
      <c r="D115" s="42"/>
      <c r="E115" s="81"/>
      <c r="F115" s="81"/>
      <c r="G115" s="81"/>
      <c r="H115" s="81"/>
      <c r="I115" s="81"/>
      <c r="J115" s="81"/>
      <c r="K115" s="81"/>
      <c r="L115" s="81"/>
      <c r="M115" s="95"/>
      <c r="N115" s="45"/>
    </row>
    <row r="116" spans="1:14" ht="15" x14ac:dyDescent="0.25">
      <c r="A116" s="36"/>
      <c r="B116" s="203" t="s">
        <v>562</v>
      </c>
      <c r="C116" s="203"/>
      <c r="D116" s="42"/>
      <c r="E116" s="81"/>
      <c r="F116" s="81"/>
      <c r="G116" s="81"/>
      <c r="H116" s="81"/>
      <c r="I116" s="81"/>
      <c r="J116" s="81"/>
      <c r="K116" s="81"/>
      <c r="L116" s="81"/>
      <c r="M116" s="95"/>
      <c r="N116" s="45"/>
    </row>
    <row r="117" spans="1:14" ht="21" customHeight="1" x14ac:dyDescent="0.3">
      <c r="A117" s="36"/>
      <c r="B117" s="201"/>
      <c r="C117" s="201"/>
      <c r="D117" s="96"/>
      <c r="E117" s="96"/>
      <c r="F117" s="96"/>
      <c r="G117" s="96"/>
      <c r="H117" s="96"/>
      <c r="I117" s="96"/>
      <c r="J117" s="96"/>
      <c r="K117" s="96"/>
      <c r="L117" s="96"/>
      <c r="M117" s="96"/>
      <c r="N117" s="87"/>
    </row>
    <row r="118" spans="1:14" ht="10.5" customHeight="1" x14ac:dyDescent="0.3">
      <c r="A118" s="36"/>
      <c r="B118" s="192"/>
      <c r="C118" s="192"/>
      <c r="D118" s="98"/>
      <c r="E118" s="98"/>
      <c r="F118" s="98"/>
      <c r="G118" s="98"/>
      <c r="H118" s="98"/>
      <c r="I118" s="98"/>
      <c r="J118" s="98"/>
      <c r="K118" s="98"/>
      <c r="L118" s="98"/>
      <c r="M118" s="98"/>
      <c r="N118" s="71"/>
    </row>
    <row r="119" spans="1:14" ht="21" customHeight="1" x14ac:dyDescent="0.4">
      <c r="A119" s="38"/>
      <c r="B119" s="325" t="s">
        <v>227</v>
      </c>
      <c r="C119" s="100"/>
      <c r="D119" s="100"/>
      <c r="E119" s="95"/>
      <c r="F119" s="95"/>
      <c r="G119" s="95"/>
      <c r="H119" s="95"/>
      <c r="I119" s="95"/>
      <c r="J119" s="95"/>
      <c r="K119" s="95"/>
      <c r="L119" s="95"/>
      <c r="M119" s="95"/>
      <c r="N119" s="45"/>
    </row>
    <row r="120" spans="1:14" ht="5.25" customHeight="1" x14ac:dyDescent="0.4">
      <c r="A120" s="36"/>
      <c r="B120" s="325"/>
      <c r="C120" s="100"/>
      <c r="D120" s="100"/>
      <c r="E120" s="95"/>
      <c r="F120" s="95"/>
      <c r="G120" s="95"/>
      <c r="H120" s="95"/>
      <c r="I120" s="95"/>
      <c r="J120" s="95"/>
      <c r="K120" s="95"/>
      <c r="L120" s="95"/>
      <c r="M120" s="95"/>
      <c r="N120" s="45"/>
    </row>
    <row r="121" spans="1:14" ht="15" customHeight="1" x14ac:dyDescent="0.25">
      <c r="A121" s="36"/>
      <c r="B121" s="203" t="s">
        <v>385</v>
      </c>
      <c r="C121" s="94"/>
      <c r="D121" s="94"/>
      <c r="E121" s="94"/>
      <c r="F121" s="94"/>
      <c r="G121" s="94"/>
      <c r="H121" s="94"/>
      <c r="I121" s="95"/>
      <c r="J121" s="95"/>
      <c r="K121" s="95"/>
      <c r="L121" s="95"/>
      <c r="M121" s="95"/>
      <c r="N121" s="45"/>
    </row>
    <row r="122" spans="1:14" ht="15" x14ac:dyDescent="0.25">
      <c r="A122" s="36"/>
      <c r="B122" s="203" t="s">
        <v>386</v>
      </c>
      <c r="C122" s="94"/>
      <c r="D122" s="94"/>
      <c r="E122" s="94"/>
      <c r="F122" s="94"/>
      <c r="G122" s="94"/>
      <c r="H122" s="94"/>
      <c r="I122" s="95"/>
      <c r="J122" s="95"/>
      <c r="K122" s="95"/>
      <c r="L122" s="95"/>
      <c r="M122" s="95"/>
      <c r="N122" s="45"/>
    </row>
    <row r="123" spans="1:14" ht="15" customHeight="1" x14ac:dyDescent="0.25">
      <c r="A123" s="36"/>
      <c r="B123" s="203" t="s">
        <v>563</v>
      </c>
      <c r="C123" s="94"/>
      <c r="D123" s="94"/>
      <c r="E123" s="94"/>
      <c r="F123" s="94"/>
      <c r="G123" s="94"/>
      <c r="H123" s="94"/>
      <c r="I123" s="95"/>
      <c r="J123" s="95"/>
      <c r="K123" s="95"/>
      <c r="L123" s="95"/>
      <c r="M123" s="95"/>
      <c r="N123" s="45"/>
    </row>
    <row r="124" spans="1:14" ht="15" customHeight="1" x14ac:dyDescent="0.25">
      <c r="A124" s="36"/>
      <c r="B124" s="203"/>
      <c r="C124" s="94"/>
      <c r="D124" s="94"/>
      <c r="E124" s="94"/>
      <c r="F124" s="94"/>
      <c r="G124" s="94"/>
      <c r="H124" s="94"/>
      <c r="I124" s="95"/>
      <c r="J124" s="95"/>
      <c r="K124" s="95"/>
      <c r="L124" s="95"/>
      <c r="M124" s="95"/>
      <c r="N124" s="45"/>
    </row>
    <row r="125" spans="1:14" ht="15.6" x14ac:dyDescent="0.3">
      <c r="A125" s="36"/>
      <c r="B125" s="94"/>
      <c r="C125" s="100"/>
      <c r="D125" s="100"/>
      <c r="E125" s="95"/>
      <c r="F125" s="95"/>
      <c r="G125" s="95"/>
      <c r="H125" s="95"/>
      <c r="I125" s="95"/>
      <c r="J125" s="95"/>
      <c r="K125" s="95"/>
      <c r="L125" s="95"/>
      <c r="M125" s="95"/>
      <c r="N125" s="45"/>
    </row>
    <row r="126" spans="1:14" ht="15.6" x14ac:dyDescent="0.3">
      <c r="A126" s="36"/>
      <c r="B126" s="94"/>
      <c r="C126" s="100"/>
      <c r="D126" s="100"/>
      <c r="E126" s="95"/>
      <c r="F126" s="95"/>
      <c r="G126" s="95"/>
      <c r="H126" s="95"/>
      <c r="I126" s="95"/>
      <c r="J126" s="95"/>
      <c r="K126" s="95"/>
      <c r="L126" s="95"/>
      <c r="M126" s="95"/>
      <c r="N126" s="45"/>
    </row>
    <row r="127" spans="1:14" ht="15.75" customHeight="1" x14ac:dyDescent="0.3">
      <c r="A127" s="36"/>
      <c r="B127" s="94"/>
      <c r="C127" s="100"/>
      <c r="D127" s="100"/>
      <c r="E127" s="95"/>
      <c r="F127" s="95"/>
      <c r="G127" s="95"/>
      <c r="H127" s="95"/>
      <c r="I127" s="95"/>
      <c r="J127" s="95"/>
      <c r="K127" s="95"/>
      <c r="L127" s="95"/>
      <c r="M127" s="95"/>
      <c r="N127" s="45"/>
    </row>
    <row r="128" spans="1:14" ht="15.75" customHeight="1" x14ac:dyDescent="0.3">
      <c r="A128" s="36"/>
      <c r="B128" s="94"/>
      <c r="C128" s="100"/>
      <c r="D128" s="100"/>
      <c r="E128" s="95"/>
      <c r="F128" s="95"/>
      <c r="G128" s="95"/>
      <c r="H128" s="95"/>
      <c r="I128" s="95"/>
      <c r="J128" s="95"/>
      <c r="K128" s="95"/>
      <c r="L128" s="95"/>
      <c r="M128" s="95"/>
      <c r="N128" s="45"/>
    </row>
    <row r="129" spans="1:14" ht="15.75" customHeight="1" x14ac:dyDescent="0.3">
      <c r="A129" s="36"/>
      <c r="B129" s="94"/>
      <c r="C129" s="100"/>
      <c r="D129" s="100"/>
      <c r="E129" s="95"/>
      <c r="F129" s="95"/>
      <c r="G129" s="95"/>
      <c r="H129" s="95"/>
      <c r="I129" s="95"/>
      <c r="J129" s="95"/>
      <c r="K129" s="95"/>
      <c r="L129" s="95"/>
      <c r="M129" s="95"/>
      <c r="N129" s="45"/>
    </row>
    <row r="130" spans="1:14" ht="15.75" customHeight="1" x14ac:dyDescent="0.3">
      <c r="A130" s="36"/>
      <c r="B130" s="94"/>
      <c r="C130" s="100"/>
      <c r="D130" s="100"/>
      <c r="E130" s="95"/>
      <c r="F130" s="95"/>
      <c r="G130" s="95"/>
      <c r="H130" s="95"/>
      <c r="I130" s="95"/>
      <c r="J130" s="95"/>
      <c r="K130" s="95"/>
      <c r="L130" s="95"/>
      <c r="M130" s="95"/>
      <c r="N130" s="45"/>
    </row>
    <row r="131" spans="1:14" ht="20.25" customHeight="1" x14ac:dyDescent="0.3">
      <c r="A131" s="36"/>
      <c r="B131" s="94"/>
      <c r="C131" s="100"/>
      <c r="D131" s="100"/>
      <c r="E131" s="95"/>
      <c r="F131" s="95"/>
      <c r="G131" s="95"/>
      <c r="H131" s="95"/>
      <c r="I131" s="95"/>
      <c r="J131" s="95"/>
      <c r="K131" s="95"/>
      <c r="L131" s="95"/>
      <c r="M131" s="95"/>
      <c r="N131" s="45"/>
    </row>
    <row r="132" spans="1:14" ht="18" customHeight="1" x14ac:dyDescent="0.3">
      <c r="A132" s="36"/>
      <c r="B132" s="94"/>
      <c r="C132" s="100"/>
      <c r="D132" s="100"/>
      <c r="E132" s="95"/>
      <c r="F132" s="95"/>
      <c r="G132" s="95"/>
      <c r="H132" s="95"/>
      <c r="I132" s="95"/>
      <c r="J132" s="95"/>
      <c r="K132" s="95"/>
      <c r="L132" s="95"/>
      <c r="M132" s="95"/>
      <c r="N132" s="45"/>
    </row>
    <row r="133" spans="1:14" ht="21" customHeight="1" x14ac:dyDescent="0.3">
      <c r="A133" s="36"/>
      <c r="B133" s="94"/>
      <c r="C133" s="100"/>
      <c r="D133" s="100"/>
      <c r="E133" s="95"/>
      <c r="F133" s="95"/>
      <c r="G133" s="95"/>
      <c r="H133" s="95"/>
      <c r="I133" s="95"/>
      <c r="J133" s="95"/>
      <c r="K133" s="95"/>
      <c r="L133" s="95"/>
      <c r="M133" s="95"/>
      <c r="N133" s="45"/>
    </row>
    <row r="134" spans="1:14" ht="21" customHeight="1" x14ac:dyDescent="0.3">
      <c r="A134" s="36"/>
      <c r="B134" s="94"/>
      <c r="C134" s="100"/>
      <c r="D134" s="100"/>
      <c r="E134" s="95"/>
      <c r="F134" s="95"/>
      <c r="G134" s="95"/>
      <c r="H134" s="95"/>
      <c r="I134" s="95"/>
      <c r="J134" s="95"/>
      <c r="K134" s="95"/>
      <c r="L134" s="95"/>
      <c r="M134" s="95"/>
      <c r="N134" s="45"/>
    </row>
    <row r="135" spans="1:14" ht="10.5" customHeight="1" x14ac:dyDescent="0.3">
      <c r="A135" s="36"/>
      <c r="B135" s="94"/>
      <c r="C135" s="100"/>
      <c r="D135" s="100"/>
      <c r="E135" s="95"/>
      <c r="F135" s="95"/>
      <c r="G135" s="95"/>
      <c r="H135" s="95"/>
      <c r="I135" s="95"/>
      <c r="J135" s="95"/>
      <c r="K135" s="95"/>
      <c r="L135" s="95"/>
      <c r="M135" s="95"/>
      <c r="N135" s="45"/>
    </row>
    <row r="136" spans="1:14" ht="15.6" x14ac:dyDescent="0.3">
      <c r="A136" s="36"/>
      <c r="B136" s="94"/>
      <c r="C136" s="100"/>
      <c r="D136" s="100"/>
      <c r="E136" s="95"/>
      <c r="F136" s="95"/>
      <c r="G136" s="95"/>
      <c r="H136" s="95"/>
      <c r="I136" s="95"/>
      <c r="J136" s="47" t="s">
        <v>502</v>
      </c>
      <c r="K136" s="95"/>
      <c r="L136" s="95"/>
      <c r="M136" s="95"/>
      <c r="N136" s="45"/>
    </row>
    <row r="137" spans="1:14" ht="11.25" customHeight="1" x14ac:dyDescent="0.3">
      <c r="A137" s="36"/>
      <c r="B137" s="94"/>
      <c r="C137" s="100"/>
      <c r="D137" s="100"/>
      <c r="E137" s="95"/>
      <c r="F137" s="95"/>
      <c r="G137" s="95"/>
      <c r="H137" s="95"/>
      <c r="I137" s="95"/>
      <c r="J137" s="42" t="str">
        <f>"If the council has a SV due to expire on 30 June "&amp;'WK0 - Input data'!$H$24&amp;","</f>
        <v>If the council has a SV due to expire on 30 June 2018,</v>
      </c>
      <c r="K137" s="95"/>
      <c r="L137" s="95"/>
      <c r="M137" s="95"/>
      <c r="N137" s="45"/>
    </row>
    <row r="138" spans="1:14" ht="15.6" x14ac:dyDescent="0.3">
      <c r="A138" s="36"/>
      <c r="B138" s="94"/>
      <c r="C138" s="100"/>
      <c r="D138" s="100"/>
      <c r="E138" s="95"/>
      <c r="F138" s="95"/>
      <c r="G138" s="95"/>
      <c r="H138" s="95"/>
      <c r="I138" s="95"/>
      <c r="J138" s="42" t="s">
        <v>503</v>
      </c>
      <c r="K138" s="95"/>
      <c r="L138" s="95"/>
      <c r="M138" s="95"/>
      <c r="N138" s="45"/>
    </row>
    <row r="139" spans="1:14" ht="15.6" x14ac:dyDescent="0.3">
      <c r="A139" s="36"/>
      <c r="B139" s="94"/>
      <c r="C139" s="100"/>
      <c r="D139" s="100"/>
      <c r="E139" s="95"/>
      <c r="F139" s="95"/>
      <c r="G139" s="95"/>
      <c r="H139" s="95"/>
      <c r="I139" s="95"/>
      <c r="J139" s="42" t="str">
        <f>"calculating Permissable General Income in "&amp;'WK0 - Input data'!$E$24&amp;"."</f>
        <v>calculating Permissable General Income in 2018-19.</v>
      </c>
      <c r="K139" s="95"/>
      <c r="L139" s="95"/>
      <c r="M139" s="95"/>
      <c r="N139" s="45"/>
    </row>
    <row r="140" spans="1:14" ht="15.6" x14ac:dyDescent="0.3">
      <c r="A140" s="36"/>
      <c r="B140" s="94"/>
      <c r="C140" s="100"/>
      <c r="D140" s="100"/>
      <c r="E140" s="95"/>
      <c r="F140" s="95"/>
      <c r="G140" s="95"/>
      <c r="H140" s="95"/>
      <c r="I140" s="95"/>
      <c r="J140" s="95"/>
      <c r="K140" s="95"/>
      <c r="L140" s="95"/>
      <c r="M140" s="95"/>
      <c r="N140" s="45"/>
    </row>
    <row r="141" spans="1:14" ht="15.6" x14ac:dyDescent="0.3">
      <c r="A141" s="36"/>
      <c r="B141" s="94"/>
      <c r="C141" s="100"/>
      <c r="D141" s="100"/>
      <c r="E141" s="95"/>
      <c r="F141" s="95"/>
      <c r="G141" s="95"/>
      <c r="H141" s="95"/>
      <c r="I141" s="95"/>
      <c r="J141" s="47" t="s">
        <v>504</v>
      </c>
      <c r="K141" s="95"/>
      <c r="L141" s="95"/>
      <c r="M141" s="95"/>
      <c r="N141" s="45"/>
    </row>
    <row r="142" spans="1:14" ht="15.6" x14ac:dyDescent="0.3">
      <c r="A142" s="36"/>
      <c r="B142" s="94"/>
      <c r="C142" s="100"/>
      <c r="D142" s="100"/>
      <c r="E142" s="95"/>
      <c r="F142" s="95"/>
      <c r="G142" s="95"/>
      <c r="H142" s="95"/>
      <c r="I142" s="95"/>
      <c r="J142" s="42" t="s">
        <v>505</v>
      </c>
      <c r="K142" s="95"/>
      <c r="L142" s="95"/>
      <c r="M142" s="95"/>
      <c r="N142" s="45"/>
    </row>
    <row r="143" spans="1:14" ht="17.25" customHeight="1" x14ac:dyDescent="0.3">
      <c r="A143" s="36"/>
      <c r="B143" s="94"/>
      <c r="C143" s="100"/>
      <c r="D143" s="100"/>
      <c r="E143" s="95"/>
      <c r="F143" s="95"/>
      <c r="G143" s="95"/>
      <c r="H143" s="95"/>
      <c r="I143" s="95"/>
      <c r="J143" s="42" t="s">
        <v>506</v>
      </c>
      <c r="K143" s="95"/>
      <c r="L143" s="95"/>
      <c r="M143" s="95"/>
      <c r="N143" s="45"/>
    </row>
    <row r="144" spans="1:14" ht="17.25" customHeight="1" x14ac:dyDescent="0.3">
      <c r="A144" s="36"/>
      <c r="B144" s="94"/>
      <c r="C144" s="100"/>
      <c r="D144" s="100"/>
      <c r="E144" s="95"/>
      <c r="F144" s="95"/>
      <c r="G144" s="95"/>
      <c r="H144" s="95"/>
      <c r="I144" s="95"/>
      <c r="J144" s="42" t="s">
        <v>507</v>
      </c>
      <c r="K144" s="95"/>
      <c r="L144" s="95"/>
      <c r="M144" s="95"/>
      <c r="N144" s="45"/>
    </row>
    <row r="145" spans="1:14" ht="15.6" x14ac:dyDescent="0.3">
      <c r="A145" s="36"/>
      <c r="B145" s="94"/>
      <c r="C145" s="100"/>
      <c r="D145" s="100"/>
      <c r="E145" s="95"/>
      <c r="F145" s="95"/>
      <c r="G145" s="95"/>
      <c r="H145" s="95"/>
      <c r="I145" s="95"/>
      <c r="J145" s="47" t="s">
        <v>508</v>
      </c>
      <c r="K145" s="95"/>
      <c r="L145" s="95"/>
      <c r="M145" s="95"/>
      <c r="N145" s="45"/>
    </row>
    <row r="146" spans="1:14" ht="15" customHeight="1" x14ac:dyDescent="0.3">
      <c r="A146" s="36"/>
      <c r="B146" s="94"/>
      <c r="C146" s="100"/>
      <c r="D146" s="100"/>
      <c r="E146" s="95"/>
      <c r="F146" s="95"/>
      <c r="G146" s="95"/>
      <c r="H146" s="95"/>
      <c r="I146" s="95"/>
      <c r="J146" s="42" t="s">
        <v>509</v>
      </c>
      <c r="K146" s="95"/>
      <c r="L146" s="95"/>
      <c r="M146" s="95"/>
      <c r="N146" s="45"/>
    </row>
    <row r="147" spans="1:14" ht="15.6" x14ac:dyDescent="0.3">
      <c r="A147" s="36"/>
      <c r="B147" s="94"/>
      <c r="C147" s="100"/>
      <c r="D147" s="100"/>
      <c r="E147" s="95"/>
      <c r="F147" s="95"/>
      <c r="G147" s="95"/>
      <c r="H147" s="95"/>
      <c r="I147" s="95"/>
      <c r="J147" s="42" t="s">
        <v>510</v>
      </c>
      <c r="K147" s="95"/>
      <c r="L147" s="95"/>
      <c r="M147" s="95"/>
      <c r="N147" s="45"/>
    </row>
    <row r="148" spans="1:14" ht="14.25" customHeight="1" x14ac:dyDescent="0.3">
      <c r="A148" s="36"/>
      <c r="B148" s="94"/>
      <c r="C148" s="100"/>
      <c r="D148" s="100"/>
      <c r="E148" s="95"/>
      <c r="F148" s="95"/>
      <c r="G148" s="95"/>
      <c r="H148" s="95"/>
      <c r="I148" s="95"/>
      <c r="J148" s="42" t="s">
        <v>511</v>
      </c>
      <c r="K148" s="95"/>
      <c r="L148" s="95"/>
      <c r="M148" s="95"/>
      <c r="N148" s="45"/>
    </row>
    <row r="149" spans="1:14" ht="15.6" x14ac:dyDescent="0.3">
      <c r="A149" s="36"/>
      <c r="B149" s="94"/>
      <c r="C149" s="100"/>
      <c r="D149" s="100"/>
      <c r="E149" s="95"/>
      <c r="F149" s="95"/>
      <c r="G149" s="95"/>
      <c r="H149" s="95"/>
      <c r="I149" s="95"/>
      <c r="J149" s="42" t="s">
        <v>512</v>
      </c>
      <c r="K149" s="95"/>
      <c r="L149" s="95"/>
      <c r="M149" s="95"/>
      <c r="N149" s="45"/>
    </row>
    <row r="150" spans="1:14" ht="15.6" x14ac:dyDescent="0.3">
      <c r="A150" s="36"/>
      <c r="B150" s="94"/>
      <c r="C150" s="100"/>
      <c r="D150" s="100"/>
      <c r="E150" s="95"/>
      <c r="F150" s="95"/>
      <c r="G150" s="95"/>
      <c r="H150" s="95"/>
      <c r="I150" s="95"/>
      <c r="J150" s="42" t="s">
        <v>513</v>
      </c>
      <c r="K150" s="95"/>
      <c r="L150" s="95"/>
      <c r="M150" s="95"/>
      <c r="N150" s="45"/>
    </row>
    <row r="151" spans="1:14" ht="15.6" x14ac:dyDescent="0.3">
      <c r="A151" s="36"/>
      <c r="B151" s="94"/>
      <c r="C151" s="100"/>
      <c r="D151" s="100"/>
      <c r="E151" s="95"/>
      <c r="F151" s="95"/>
      <c r="G151" s="95"/>
      <c r="H151" s="95"/>
      <c r="I151" s="95"/>
      <c r="J151" s="42" t="s">
        <v>564</v>
      </c>
      <c r="K151" s="95"/>
      <c r="L151" s="95"/>
      <c r="M151" s="95"/>
      <c r="N151" s="45"/>
    </row>
    <row r="152" spans="1:14" ht="15.6" x14ac:dyDescent="0.3">
      <c r="A152" s="36"/>
      <c r="B152" s="94"/>
      <c r="C152" s="100"/>
      <c r="D152" s="100"/>
      <c r="E152" s="95"/>
      <c r="F152" s="95"/>
      <c r="G152" s="95"/>
      <c r="H152" s="95"/>
      <c r="I152" s="95"/>
      <c r="J152" s="47" t="s">
        <v>514</v>
      </c>
      <c r="K152" s="95"/>
      <c r="L152" s="95"/>
      <c r="M152" s="95"/>
      <c r="N152" s="45"/>
    </row>
    <row r="153" spans="1:14" ht="15.6" x14ac:dyDescent="0.3">
      <c r="A153" s="36"/>
      <c r="B153" s="94"/>
      <c r="C153" s="100"/>
      <c r="D153" s="100"/>
      <c r="E153" s="95"/>
      <c r="F153" s="95"/>
      <c r="G153" s="95"/>
      <c r="H153" s="95"/>
      <c r="I153" s="95"/>
      <c r="J153" s="42" t="s">
        <v>565</v>
      </c>
      <c r="K153" s="95"/>
      <c r="L153" s="95"/>
      <c r="M153" s="95"/>
      <c r="N153" s="45"/>
    </row>
    <row r="154" spans="1:14" ht="15.6" x14ac:dyDescent="0.3">
      <c r="A154" s="36"/>
      <c r="B154" s="94"/>
      <c r="C154" s="100"/>
      <c r="D154" s="100"/>
      <c r="E154" s="95"/>
      <c r="F154" s="95"/>
      <c r="G154" s="95"/>
      <c r="H154" s="95"/>
      <c r="I154" s="95"/>
      <c r="J154" s="42" t="s">
        <v>706</v>
      </c>
      <c r="K154" s="95"/>
      <c r="L154" s="95"/>
      <c r="M154" s="95"/>
      <c r="N154" s="45"/>
    </row>
    <row r="155" spans="1:14" ht="15.6" x14ac:dyDescent="0.3">
      <c r="A155" s="36"/>
      <c r="B155" s="94"/>
      <c r="C155" s="100"/>
      <c r="D155" s="100"/>
      <c r="E155" s="95"/>
      <c r="F155" s="95"/>
      <c r="G155" s="95"/>
      <c r="H155" s="95"/>
      <c r="I155" s="95"/>
      <c r="J155" s="42" t="s">
        <v>515</v>
      </c>
      <c r="K155" s="95"/>
      <c r="L155" s="95"/>
      <c r="M155" s="95"/>
      <c r="N155" s="45"/>
    </row>
    <row r="156" spans="1:14" ht="21" x14ac:dyDescent="0.4">
      <c r="A156" s="36"/>
      <c r="B156" s="325"/>
      <c r="C156" s="94"/>
      <c r="D156" s="42"/>
      <c r="E156" s="95"/>
      <c r="F156" s="95"/>
      <c r="G156" s="95"/>
      <c r="H156" s="95"/>
      <c r="I156" s="95"/>
      <c r="J156" s="42" t="s">
        <v>516</v>
      </c>
      <c r="K156" s="95"/>
      <c r="L156" s="95"/>
      <c r="M156" s="95"/>
      <c r="N156" s="45"/>
    </row>
    <row r="157" spans="1:14" ht="21" x14ac:dyDescent="0.4">
      <c r="A157" s="36"/>
      <c r="B157" s="325"/>
      <c r="C157" s="94"/>
      <c r="D157" s="42"/>
      <c r="E157" s="95"/>
      <c r="F157" s="95"/>
      <c r="G157" s="95"/>
      <c r="H157" s="95"/>
      <c r="I157" s="95"/>
      <c r="J157" s="42" t="s">
        <v>517</v>
      </c>
      <c r="K157" s="95"/>
      <c r="L157" s="95"/>
      <c r="M157" s="95"/>
      <c r="N157" s="45"/>
    </row>
    <row r="158" spans="1:14" ht="21" x14ac:dyDescent="0.4">
      <c r="A158" s="36"/>
      <c r="B158" s="325"/>
      <c r="C158" s="94"/>
      <c r="D158" s="42"/>
      <c r="E158" s="95"/>
      <c r="F158" s="95"/>
      <c r="G158" s="95"/>
      <c r="H158" s="95"/>
      <c r="I158" s="95"/>
      <c r="J158" s="42" t="s">
        <v>518</v>
      </c>
      <c r="K158" s="95"/>
      <c r="L158" s="95"/>
      <c r="M158" s="95"/>
      <c r="N158" s="45"/>
    </row>
    <row r="159" spans="1:14" ht="21.75" customHeight="1" x14ac:dyDescent="0.4">
      <c r="A159" s="36"/>
      <c r="B159" s="325"/>
      <c r="C159" s="94"/>
      <c r="D159" s="42"/>
      <c r="E159" s="95"/>
      <c r="F159" s="95"/>
      <c r="G159" s="95"/>
      <c r="H159" s="95"/>
      <c r="I159" s="95"/>
      <c r="J159" s="42" t="s">
        <v>519</v>
      </c>
      <c r="K159" s="95"/>
      <c r="L159" s="95"/>
      <c r="M159" s="95"/>
      <c r="N159" s="45"/>
    </row>
    <row r="160" spans="1:14" ht="15" x14ac:dyDescent="0.25">
      <c r="A160" s="36"/>
      <c r="B160" s="97"/>
      <c r="C160" s="97"/>
      <c r="D160" s="31"/>
      <c r="E160" s="98"/>
      <c r="F160" s="98"/>
      <c r="G160" s="98"/>
      <c r="H160" s="98"/>
      <c r="I160" s="98"/>
      <c r="J160" s="98"/>
      <c r="K160" s="32"/>
      <c r="L160" s="32"/>
      <c r="M160" s="32"/>
      <c r="N160" s="71"/>
    </row>
    <row r="161" spans="1:14" ht="21" x14ac:dyDescent="0.4">
      <c r="A161" s="38"/>
      <c r="B161" s="182" t="s">
        <v>332</v>
      </c>
      <c r="C161" s="100"/>
      <c r="D161" s="100"/>
      <c r="E161" s="95"/>
      <c r="F161" s="95"/>
      <c r="G161" s="95"/>
      <c r="H161" s="95"/>
      <c r="I161" s="95"/>
      <c r="J161" s="95"/>
      <c r="K161" s="38"/>
      <c r="L161" s="38"/>
      <c r="M161" s="38"/>
      <c r="N161" s="45"/>
    </row>
    <row r="162" spans="1:14" ht="9.75" customHeight="1" x14ac:dyDescent="0.3">
      <c r="A162" s="36"/>
      <c r="B162" s="99"/>
      <c r="C162" s="100"/>
      <c r="D162" s="100"/>
      <c r="E162" s="95"/>
      <c r="F162" s="95"/>
      <c r="G162" s="95"/>
      <c r="H162" s="95"/>
      <c r="I162" s="95"/>
      <c r="J162" s="95"/>
      <c r="K162" s="38"/>
      <c r="L162" s="38"/>
      <c r="M162" s="38"/>
      <c r="N162" s="45"/>
    </row>
    <row r="163" spans="1:14" ht="15" x14ac:dyDescent="0.25">
      <c r="A163" s="36"/>
      <c r="B163" s="712" t="s">
        <v>531</v>
      </c>
      <c r="C163" s="713"/>
      <c r="D163" s="713"/>
      <c r="E163" s="713"/>
      <c r="F163" s="713"/>
      <c r="G163" s="713"/>
      <c r="H163" s="713"/>
      <c r="I163" s="713"/>
      <c r="J163" s="713"/>
      <c r="K163" s="713"/>
      <c r="L163" s="713"/>
      <c r="M163" s="38"/>
      <c r="N163" s="45"/>
    </row>
    <row r="164" spans="1:14" ht="15.6" x14ac:dyDescent="0.3">
      <c r="A164" s="36"/>
      <c r="B164" s="203"/>
      <c r="C164" s="110" t="s">
        <v>226</v>
      </c>
      <c r="D164" s="712" t="s">
        <v>566</v>
      </c>
      <c r="E164" s="717"/>
      <c r="F164" s="717"/>
      <c r="G164" s="717"/>
      <c r="H164" s="717"/>
      <c r="I164" s="717"/>
      <c r="J164" s="717"/>
      <c r="K164" s="717"/>
      <c r="L164" s="717"/>
      <c r="M164" s="38"/>
      <c r="N164" s="45"/>
    </row>
    <row r="165" spans="1:14" ht="15.6" x14ac:dyDescent="0.3">
      <c r="A165" s="36"/>
      <c r="B165" s="203"/>
      <c r="C165" s="110" t="s">
        <v>226</v>
      </c>
      <c r="D165" s="718" t="s">
        <v>695</v>
      </c>
      <c r="E165" s="719"/>
      <c r="F165" s="719"/>
      <c r="G165" s="719"/>
      <c r="H165" s="719"/>
      <c r="I165" s="719"/>
      <c r="J165" s="719"/>
      <c r="K165" s="719"/>
      <c r="L165" s="719"/>
      <c r="M165" s="38"/>
      <c r="N165" s="45"/>
    </row>
    <row r="166" spans="1:14" ht="15.6" x14ac:dyDescent="0.3">
      <c r="A166" s="36"/>
      <c r="B166" s="203"/>
      <c r="C166" s="110"/>
      <c r="D166" s="720"/>
      <c r="E166" s="720"/>
      <c r="F166" s="720"/>
      <c r="G166" s="720"/>
      <c r="H166" s="720"/>
      <c r="I166" s="720"/>
      <c r="J166" s="720"/>
      <c r="K166" s="720"/>
      <c r="L166" s="720"/>
      <c r="M166" s="38"/>
      <c r="N166" s="45"/>
    </row>
    <row r="167" spans="1:14" ht="15.6" x14ac:dyDescent="0.3">
      <c r="A167" s="36"/>
      <c r="B167" s="203"/>
      <c r="C167" s="110" t="s">
        <v>226</v>
      </c>
      <c r="D167" s="203" t="s">
        <v>707</v>
      </c>
      <c r="E167" s="94"/>
      <c r="F167" s="94"/>
      <c r="G167" s="94"/>
      <c r="H167" s="94"/>
      <c r="I167" s="94"/>
      <c r="J167" s="94"/>
      <c r="K167" s="94"/>
      <c r="L167" s="94"/>
      <c r="M167" s="38"/>
      <c r="N167" s="45"/>
    </row>
    <row r="168" spans="1:14" ht="15.6" x14ac:dyDescent="0.3">
      <c r="A168" s="36"/>
      <c r="B168" s="203"/>
      <c r="C168" s="110" t="s">
        <v>226</v>
      </c>
      <c r="D168" s="203" t="s">
        <v>532</v>
      </c>
      <c r="E168" s="94"/>
      <c r="F168" s="94"/>
      <c r="G168" s="94"/>
      <c r="H168" s="94"/>
      <c r="I168" s="94"/>
      <c r="J168" s="94"/>
      <c r="K168" s="94"/>
      <c r="L168" s="94"/>
      <c r="M168" s="38"/>
      <c r="N168" s="45"/>
    </row>
    <row r="169" spans="1:14" ht="15.6" x14ac:dyDescent="0.3">
      <c r="A169" s="36"/>
      <c r="B169" s="203"/>
      <c r="C169" s="110" t="s">
        <v>226</v>
      </c>
      <c r="D169" s="203" t="s">
        <v>707</v>
      </c>
      <c r="E169" s="94"/>
      <c r="F169" s="94"/>
      <c r="G169" s="94"/>
      <c r="H169" s="94"/>
      <c r="I169" s="94"/>
      <c r="J169" s="94"/>
      <c r="K169" s="94"/>
      <c r="L169" s="94"/>
      <c r="M169" s="38"/>
      <c r="N169" s="45"/>
    </row>
    <row r="170" spans="1:14" ht="15.6" x14ac:dyDescent="0.3">
      <c r="A170" s="36"/>
      <c r="B170" s="203"/>
      <c r="C170" s="110"/>
      <c r="D170" s="203"/>
      <c r="E170" s="94"/>
      <c r="F170" s="94"/>
      <c r="G170" s="94"/>
      <c r="H170" s="94"/>
      <c r="I170" s="94"/>
      <c r="J170" s="94"/>
      <c r="K170" s="94"/>
      <c r="L170" s="94"/>
      <c r="M170" s="38"/>
      <c r="N170" s="45"/>
    </row>
    <row r="171" spans="1:14" ht="15" x14ac:dyDescent="0.25">
      <c r="A171" s="36"/>
      <c r="B171" s="712" t="s">
        <v>6</v>
      </c>
      <c r="C171" s="713"/>
      <c r="D171" s="713"/>
      <c r="E171" s="713"/>
      <c r="F171" s="713"/>
      <c r="G171" s="713"/>
      <c r="H171" s="713"/>
      <c r="I171" s="713"/>
      <c r="J171" s="713"/>
      <c r="K171" s="713"/>
      <c r="L171" s="713"/>
      <c r="M171" s="38"/>
      <c r="N171" s="45"/>
    </row>
    <row r="172" spans="1:14" ht="9.75" customHeight="1" x14ac:dyDescent="0.3">
      <c r="A172" s="36"/>
      <c r="B172" s="81"/>
      <c r="C172" s="100"/>
      <c r="D172" s="100"/>
      <c r="E172" s="95"/>
      <c r="F172" s="95"/>
      <c r="G172" s="95"/>
      <c r="H172" s="95"/>
      <c r="I172" s="95"/>
      <c r="J172" s="95"/>
      <c r="K172" s="38"/>
      <c r="L172" s="38"/>
      <c r="M172" s="38"/>
      <c r="N172" s="45"/>
    </row>
    <row r="173" spans="1:14" ht="15.6" x14ac:dyDescent="0.3">
      <c r="A173" s="36"/>
      <c r="B173" s="111" t="s">
        <v>567</v>
      </c>
      <c r="C173" s="100"/>
      <c r="D173" s="100"/>
      <c r="E173" s="95"/>
      <c r="F173" s="95"/>
      <c r="G173" s="95"/>
      <c r="H173" s="95"/>
      <c r="I173" s="95"/>
      <c r="J173" s="95"/>
      <c r="K173" s="38"/>
      <c r="L173" s="38"/>
      <c r="M173" s="38"/>
      <c r="N173" s="45"/>
    </row>
    <row r="174" spans="1:14" ht="15.6" x14ac:dyDescent="0.3">
      <c r="A174" s="36"/>
      <c r="B174" s="81" t="s">
        <v>568</v>
      </c>
      <c r="C174" s="100"/>
      <c r="D174" s="100"/>
      <c r="E174" s="95"/>
      <c r="F174" s="95"/>
      <c r="G174" s="95"/>
      <c r="H174" s="95"/>
      <c r="I174" s="95"/>
      <c r="J174" s="95"/>
      <c r="K174" s="38"/>
      <c r="L174" s="38"/>
      <c r="M174" s="38"/>
      <c r="N174" s="45"/>
    </row>
    <row r="175" spans="1:14" ht="15.6" x14ac:dyDescent="0.3">
      <c r="A175" s="36"/>
      <c r="B175" s="81" t="s">
        <v>731</v>
      </c>
      <c r="C175" s="100"/>
      <c r="D175" s="100"/>
      <c r="E175" s="95"/>
      <c r="F175" s="95"/>
      <c r="G175" s="95"/>
      <c r="H175" s="95"/>
      <c r="I175" s="95"/>
      <c r="J175" s="95"/>
      <c r="K175" s="38"/>
      <c r="L175" s="38"/>
      <c r="M175" s="38"/>
      <c r="N175" s="45"/>
    </row>
    <row r="176" spans="1:14" ht="9.75" customHeight="1" x14ac:dyDescent="0.3">
      <c r="A176" s="36"/>
      <c r="B176" s="81"/>
      <c r="C176" s="100"/>
      <c r="D176" s="100"/>
      <c r="E176" s="95"/>
      <c r="F176" s="95"/>
      <c r="G176" s="95"/>
      <c r="H176" s="95"/>
      <c r="I176" s="95"/>
      <c r="J176" s="95"/>
      <c r="K176" s="38"/>
      <c r="L176" s="38"/>
      <c r="M176" s="38"/>
      <c r="N176" s="45"/>
    </row>
    <row r="177" spans="1:14" ht="15.6" x14ac:dyDescent="0.3">
      <c r="A177" s="36"/>
      <c r="B177" s="111" t="s">
        <v>329</v>
      </c>
      <c r="C177" s="100"/>
      <c r="D177" s="100"/>
      <c r="E177" s="95"/>
      <c r="F177" s="95"/>
      <c r="G177" s="95"/>
      <c r="H177" s="95"/>
      <c r="I177" s="95"/>
      <c r="J177" s="95"/>
      <c r="K177" s="38"/>
      <c r="L177" s="38"/>
      <c r="M177" s="38"/>
      <c r="N177" s="45"/>
    </row>
    <row r="178" spans="1:14" ht="15" x14ac:dyDescent="0.25">
      <c r="A178" s="36"/>
      <c r="B178" s="712" t="s">
        <v>708</v>
      </c>
      <c r="C178" s="713"/>
      <c r="D178" s="713"/>
      <c r="E178" s="713"/>
      <c r="F178" s="713"/>
      <c r="G178" s="713"/>
      <c r="H178" s="713"/>
      <c r="I178" s="713"/>
      <c r="J178" s="713"/>
      <c r="K178" s="713"/>
      <c r="L178" s="713"/>
      <c r="M178" s="38"/>
      <c r="N178" s="45"/>
    </row>
    <row r="179" spans="1:14" ht="15" x14ac:dyDescent="0.25">
      <c r="A179" s="36"/>
      <c r="B179" s="712" t="s">
        <v>709</v>
      </c>
      <c r="C179" s="713"/>
      <c r="D179" s="713"/>
      <c r="E179" s="713"/>
      <c r="F179" s="713"/>
      <c r="G179" s="713"/>
      <c r="H179" s="713"/>
      <c r="I179" s="713"/>
      <c r="J179" s="713"/>
      <c r="K179" s="713"/>
      <c r="L179" s="713"/>
      <c r="M179" s="38"/>
      <c r="N179" s="45"/>
    </row>
    <row r="180" spans="1:14" ht="15" x14ac:dyDescent="0.25">
      <c r="A180" s="36"/>
      <c r="B180" s="203"/>
      <c r="C180" s="203"/>
      <c r="D180" s="203"/>
      <c r="E180" s="203"/>
      <c r="F180" s="203"/>
      <c r="G180" s="203"/>
      <c r="H180" s="203"/>
      <c r="I180" s="203"/>
      <c r="J180" s="203"/>
      <c r="K180" s="203"/>
      <c r="L180" s="203"/>
      <c r="M180" s="38"/>
      <c r="N180" s="45"/>
    </row>
    <row r="181" spans="1:14" ht="15" x14ac:dyDescent="0.25">
      <c r="A181" s="36"/>
      <c r="B181" s="203" t="s">
        <v>583</v>
      </c>
      <c r="C181" s="203"/>
      <c r="D181" s="203"/>
      <c r="E181" s="203"/>
      <c r="F181" s="203"/>
      <c r="G181" s="203"/>
      <c r="H181" s="203"/>
      <c r="I181" s="203"/>
      <c r="J181" s="203"/>
      <c r="K181" s="203"/>
      <c r="L181" s="203"/>
      <c r="M181" s="38"/>
      <c r="N181" s="45"/>
    </row>
    <row r="182" spans="1:14" ht="15.6" x14ac:dyDescent="0.3">
      <c r="A182" s="36"/>
      <c r="B182" s="81"/>
      <c r="C182" s="100"/>
      <c r="D182" s="100"/>
      <c r="E182" s="95"/>
      <c r="F182" s="95"/>
      <c r="G182" s="95"/>
      <c r="H182" s="95"/>
      <c r="I182" s="95"/>
      <c r="J182" s="95"/>
      <c r="K182" s="38"/>
      <c r="L182" s="38"/>
      <c r="M182" s="38"/>
      <c r="N182" s="45"/>
    </row>
    <row r="183" spans="1:14" ht="15.6" x14ac:dyDescent="0.3">
      <c r="A183" s="36"/>
      <c r="B183" s="326" t="s">
        <v>231</v>
      </c>
      <c r="C183" s="100"/>
      <c r="D183" s="100"/>
      <c r="E183" s="95"/>
      <c r="F183" s="95"/>
      <c r="G183" s="95"/>
      <c r="H183" s="95"/>
      <c r="I183" s="95"/>
      <c r="J183" s="95"/>
      <c r="K183" s="38"/>
      <c r="L183" s="38"/>
      <c r="M183" s="38"/>
      <c r="N183" s="45"/>
    </row>
    <row r="184" spans="1:14" ht="15" x14ac:dyDescent="0.25">
      <c r="A184" s="36"/>
      <c r="B184" s="712" t="s">
        <v>7</v>
      </c>
      <c r="C184" s="713"/>
      <c r="D184" s="713"/>
      <c r="E184" s="713"/>
      <c r="F184" s="713"/>
      <c r="G184" s="713"/>
      <c r="H184" s="713"/>
      <c r="I184" s="713"/>
      <c r="J184" s="713"/>
      <c r="K184" s="713"/>
      <c r="L184" s="713"/>
      <c r="M184" s="38"/>
      <c r="N184" s="45"/>
    </row>
    <row r="185" spans="1:14" ht="11.25" customHeight="1" x14ac:dyDescent="0.3">
      <c r="A185" s="36"/>
      <c r="B185" s="81"/>
      <c r="C185" s="100"/>
      <c r="D185" s="100"/>
      <c r="E185" s="95"/>
      <c r="F185" s="95"/>
      <c r="G185" s="95"/>
      <c r="H185" s="95"/>
      <c r="I185" s="95"/>
      <c r="J185" s="95"/>
      <c r="K185" s="38"/>
      <c r="L185" s="38"/>
      <c r="M185" s="38"/>
      <c r="N185" s="45"/>
    </row>
    <row r="186" spans="1:14" ht="17.25" customHeight="1" x14ac:dyDescent="0.3">
      <c r="A186" s="36"/>
      <c r="B186" s="83" t="s">
        <v>232</v>
      </c>
      <c r="C186" s="100"/>
      <c r="D186" s="100"/>
      <c r="E186" s="95"/>
      <c r="F186" s="95"/>
      <c r="G186" s="95"/>
      <c r="H186" s="95"/>
      <c r="I186" s="95"/>
      <c r="J186" s="95"/>
      <c r="K186" s="95"/>
      <c r="L186" s="95"/>
      <c r="M186" s="95"/>
      <c r="N186" s="45"/>
    </row>
    <row r="187" spans="1:14" ht="17.25" customHeight="1" x14ac:dyDescent="0.25">
      <c r="A187" s="36"/>
      <c r="B187" s="712" t="s">
        <v>585</v>
      </c>
      <c r="C187" s="713"/>
      <c r="D187" s="713"/>
      <c r="E187" s="713"/>
      <c r="F187" s="713"/>
      <c r="G187" s="713"/>
      <c r="H187" s="713"/>
      <c r="I187" s="713"/>
      <c r="J187" s="713"/>
      <c r="K187" s="713"/>
      <c r="L187" s="713"/>
      <c r="M187" s="95"/>
      <c r="N187" s="45"/>
    </row>
    <row r="188" spans="1:14" ht="18" customHeight="1" x14ac:dyDescent="0.25">
      <c r="A188" s="36"/>
      <c r="B188" s="712" t="s">
        <v>584</v>
      </c>
      <c r="C188" s="713"/>
      <c r="D188" s="713"/>
      <c r="E188" s="713"/>
      <c r="F188" s="713"/>
      <c r="G188" s="713"/>
      <c r="H188" s="713"/>
      <c r="I188" s="713"/>
      <c r="J188" s="713"/>
      <c r="K188" s="713"/>
      <c r="L188" s="713"/>
      <c r="M188" s="95"/>
      <c r="N188" s="45"/>
    </row>
    <row r="189" spans="1:14" ht="18" customHeight="1" x14ac:dyDescent="0.25">
      <c r="A189" s="36"/>
      <c r="B189" s="712" t="s">
        <v>586</v>
      </c>
      <c r="C189" s="713"/>
      <c r="D189" s="713"/>
      <c r="E189" s="713"/>
      <c r="F189" s="713"/>
      <c r="G189" s="713"/>
      <c r="H189" s="713"/>
      <c r="I189" s="713"/>
      <c r="J189" s="713"/>
      <c r="K189" s="713"/>
      <c r="L189" s="713"/>
      <c r="M189" s="95"/>
      <c r="N189" s="45"/>
    </row>
    <row r="190" spans="1:14" ht="15.6" x14ac:dyDescent="0.3">
      <c r="A190" s="36"/>
      <c r="B190" s="81"/>
      <c r="C190" s="100"/>
      <c r="D190" s="100"/>
      <c r="E190" s="95"/>
      <c r="F190" s="95"/>
      <c r="G190" s="95"/>
      <c r="H190" s="95"/>
      <c r="I190" s="95"/>
      <c r="J190" s="95"/>
      <c r="K190" s="38"/>
      <c r="L190" s="38"/>
      <c r="M190" s="38"/>
      <c r="N190" s="45"/>
    </row>
    <row r="191" spans="1:14" ht="9.75" customHeight="1" x14ac:dyDescent="0.25">
      <c r="A191" s="36"/>
      <c r="B191" s="97"/>
      <c r="C191" s="97"/>
      <c r="D191" s="31"/>
      <c r="E191" s="98"/>
      <c r="F191" s="98"/>
      <c r="G191" s="98"/>
      <c r="H191" s="98"/>
      <c r="I191" s="98"/>
      <c r="J191" s="98"/>
      <c r="K191" s="32"/>
      <c r="L191" s="32"/>
      <c r="M191" s="32"/>
      <c r="N191" s="71"/>
    </row>
    <row r="192" spans="1:14" ht="21" x14ac:dyDescent="0.4">
      <c r="A192" s="38"/>
      <c r="B192" s="182" t="s">
        <v>333</v>
      </c>
      <c r="C192" s="100"/>
      <c r="D192" s="100"/>
      <c r="E192" s="95"/>
      <c r="F192" s="95"/>
      <c r="G192" s="95"/>
      <c r="H192" s="95"/>
      <c r="I192" s="95"/>
      <c r="J192" s="95"/>
      <c r="K192" s="38"/>
      <c r="L192" s="38"/>
      <c r="M192" s="38"/>
      <c r="N192" s="45"/>
    </row>
    <row r="193" spans="1:14" ht="9.75" customHeight="1" x14ac:dyDescent="0.3">
      <c r="A193" s="36"/>
      <c r="B193" s="99"/>
      <c r="C193" s="100"/>
      <c r="D193" s="100"/>
      <c r="E193" s="95"/>
      <c r="F193" s="95"/>
      <c r="G193" s="95"/>
      <c r="H193" s="95"/>
      <c r="I193" s="95"/>
      <c r="J193" s="95"/>
      <c r="K193" s="38"/>
      <c r="L193" s="38"/>
      <c r="M193" s="38"/>
      <c r="N193" s="45"/>
    </row>
    <row r="194" spans="1:14" ht="15" x14ac:dyDescent="0.25">
      <c r="A194" s="36"/>
      <c r="B194" s="712" t="s">
        <v>570</v>
      </c>
      <c r="C194" s="713"/>
      <c r="D194" s="713"/>
      <c r="E194" s="713"/>
      <c r="F194" s="713"/>
      <c r="G194" s="713"/>
      <c r="H194" s="713"/>
      <c r="I194" s="713"/>
      <c r="J194" s="713"/>
      <c r="K194" s="713"/>
      <c r="L194" s="713"/>
      <c r="M194" s="38"/>
      <c r="N194" s="45"/>
    </row>
    <row r="195" spans="1:14" ht="15" x14ac:dyDescent="0.25">
      <c r="A195" s="36"/>
      <c r="B195" s="712" t="s">
        <v>571</v>
      </c>
      <c r="C195" s="713"/>
      <c r="D195" s="713"/>
      <c r="E195" s="713"/>
      <c r="F195" s="713"/>
      <c r="G195" s="713"/>
      <c r="H195" s="713"/>
      <c r="I195" s="713"/>
      <c r="J195" s="713"/>
      <c r="K195" s="713"/>
      <c r="L195" s="713"/>
      <c r="M195" s="38"/>
      <c r="N195" s="45"/>
    </row>
    <row r="196" spans="1:14" ht="15.6" x14ac:dyDescent="0.3">
      <c r="A196" s="36"/>
      <c r="B196" s="81"/>
      <c r="C196" s="100"/>
      <c r="D196" s="100"/>
      <c r="E196" s="95"/>
      <c r="F196" s="95"/>
      <c r="G196" s="95"/>
      <c r="H196" s="95"/>
      <c r="I196" s="95"/>
      <c r="J196" s="95"/>
      <c r="K196" s="38"/>
      <c r="L196" s="38"/>
      <c r="M196" s="38"/>
      <c r="N196" s="45"/>
    </row>
    <row r="197" spans="1:14" ht="15" x14ac:dyDescent="0.25">
      <c r="A197" s="36"/>
      <c r="B197" s="712" t="s">
        <v>569</v>
      </c>
      <c r="C197" s="723"/>
      <c r="D197" s="723"/>
      <c r="E197" s="723"/>
      <c r="F197" s="723"/>
      <c r="G197" s="723"/>
      <c r="H197" s="723"/>
      <c r="I197" s="723"/>
      <c r="J197" s="723"/>
      <c r="K197" s="723"/>
      <c r="L197" s="723"/>
      <c r="M197" s="38"/>
      <c r="N197" s="45"/>
    </row>
    <row r="198" spans="1:14" ht="15" x14ac:dyDescent="0.25">
      <c r="A198" s="36"/>
      <c r="B198" s="712" t="str">
        <f>"across various land value ranges in "&amp;'WK0 - Input data'!$E$23&amp;", and the rate levels across different land values in each year"</f>
        <v>across various land value ranges in 2017-18, and the rate levels across different land values in each year</v>
      </c>
      <c r="C198" s="713"/>
      <c r="D198" s="713"/>
      <c r="E198" s="713"/>
      <c r="F198" s="713"/>
      <c r="G198" s="713"/>
      <c r="H198" s="713"/>
      <c r="I198" s="713"/>
      <c r="J198" s="713"/>
      <c r="K198" s="713"/>
      <c r="L198" s="713"/>
      <c r="M198" s="38"/>
      <c r="N198" s="45"/>
    </row>
    <row r="199" spans="1:14" ht="15" x14ac:dyDescent="0.25">
      <c r="A199" s="36"/>
      <c r="B199" s="712" t="s">
        <v>373</v>
      </c>
      <c r="C199" s="713"/>
      <c r="D199" s="713"/>
      <c r="E199" s="713"/>
      <c r="F199" s="713"/>
      <c r="G199" s="713"/>
      <c r="H199" s="713"/>
      <c r="I199" s="713"/>
      <c r="J199" s="713"/>
      <c r="K199" s="713"/>
      <c r="L199" s="713"/>
      <c r="M199" s="38"/>
      <c r="N199" s="45"/>
    </row>
    <row r="200" spans="1:14" ht="15" x14ac:dyDescent="0.25">
      <c r="A200" s="36"/>
      <c r="B200" s="712"/>
      <c r="C200" s="713"/>
      <c r="D200" s="713"/>
      <c r="E200" s="713"/>
      <c r="F200" s="713"/>
      <c r="G200" s="713"/>
      <c r="H200" s="713"/>
      <c r="I200" s="713"/>
      <c r="J200" s="713"/>
      <c r="K200" s="713"/>
      <c r="L200" s="713"/>
      <c r="M200" s="38"/>
      <c r="N200" s="45"/>
    </row>
    <row r="201" spans="1:14" ht="15" x14ac:dyDescent="0.25">
      <c r="A201" s="36"/>
      <c r="B201" s="712" t="s">
        <v>374</v>
      </c>
      <c r="C201" s="713"/>
      <c r="D201" s="713"/>
      <c r="E201" s="713"/>
      <c r="F201" s="713"/>
      <c r="G201" s="713"/>
      <c r="H201" s="713"/>
      <c r="I201" s="713"/>
      <c r="J201" s="713"/>
      <c r="K201" s="713"/>
      <c r="L201" s="713"/>
      <c r="M201" s="38"/>
      <c r="N201" s="45"/>
    </row>
    <row r="202" spans="1:14" ht="15" x14ac:dyDescent="0.25">
      <c r="A202" s="36"/>
      <c r="B202" s="203" t="s">
        <v>375</v>
      </c>
      <c r="C202" s="95"/>
      <c r="D202" s="95"/>
      <c r="E202" s="95"/>
      <c r="F202" s="95"/>
      <c r="G202" s="95"/>
      <c r="H202" s="95"/>
      <c r="I202" s="95"/>
      <c r="J202" s="95"/>
      <c r="K202" s="95"/>
      <c r="L202" s="95"/>
      <c r="M202" s="38"/>
      <c r="N202" s="45"/>
    </row>
    <row r="203" spans="1:14" ht="15" x14ac:dyDescent="0.25">
      <c r="A203" s="36"/>
      <c r="B203" s="712" t="str">
        <f>"Please complete the tables using the number of assessments from the first year of the proposed SV ("&amp;'WK0 - Input data'!$E$6&amp;")."</f>
        <v>Please complete the tables using the number of assessments from the first year of the proposed SV (2018-19).</v>
      </c>
      <c r="C203" s="713"/>
      <c r="D203" s="713"/>
      <c r="E203" s="713"/>
      <c r="F203" s="713"/>
      <c r="G203" s="713"/>
      <c r="H203" s="713"/>
      <c r="I203" s="713"/>
      <c r="J203" s="713"/>
      <c r="K203" s="713"/>
      <c r="L203" s="713"/>
      <c r="M203" s="38"/>
      <c r="N203" s="45"/>
    </row>
    <row r="204" spans="1:14" ht="15.6" x14ac:dyDescent="0.3">
      <c r="A204" s="36"/>
      <c r="B204" s="81"/>
      <c r="C204" s="100"/>
      <c r="D204" s="100"/>
      <c r="E204" s="95"/>
      <c r="F204" s="95"/>
      <c r="G204" s="95"/>
      <c r="H204" s="95"/>
      <c r="I204" s="95"/>
      <c r="J204" s="95"/>
      <c r="K204" s="38"/>
      <c r="L204" s="38"/>
      <c r="M204" s="38"/>
      <c r="N204" s="45"/>
    </row>
    <row r="205" spans="1:14" ht="9.75" customHeight="1" x14ac:dyDescent="0.3">
      <c r="A205" s="36"/>
      <c r="B205" s="32"/>
      <c r="C205" s="192"/>
      <c r="D205" s="192"/>
      <c r="E205" s="98"/>
      <c r="F205" s="98"/>
      <c r="G205" s="98"/>
      <c r="H205" s="98"/>
      <c r="I205" s="98"/>
      <c r="J205" s="98"/>
      <c r="K205" s="98"/>
      <c r="L205" s="98"/>
      <c r="M205" s="98"/>
      <c r="N205" s="71"/>
    </row>
    <row r="206" spans="1:14" ht="21" x14ac:dyDescent="0.4">
      <c r="A206" s="38"/>
      <c r="B206" s="182" t="s">
        <v>364</v>
      </c>
      <c r="C206" s="100"/>
      <c r="D206" s="100"/>
      <c r="E206" s="95"/>
      <c r="F206" s="95"/>
      <c r="G206" s="95"/>
      <c r="H206" s="95"/>
      <c r="I206" s="95"/>
      <c r="J206" s="95"/>
      <c r="K206" s="95"/>
      <c r="L206" s="95"/>
      <c r="M206" s="95"/>
      <c r="N206" s="45"/>
    </row>
    <row r="207" spans="1:14" ht="9.75" customHeight="1" x14ac:dyDescent="0.4">
      <c r="A207" s="36"/>
      <c r="B207" s="182"/>
      <c r="C207" s="100"/>
      <c r="D207" s="100"/>
      <c r="E207" s="95"/>
      <c r="F207" s="95"/>
      <c r="G207" s="95"/>
      <c r="H207" s="95"/>
      <c r="I207" s="95"/>
      <c r="J207" s="95"/>
      <c r="K207" s="95"/>
      <c r="L207" s="95"/>
      <c r="M207" s="95"/>
      <c r="N207" s="45"/>
    </row>
    <row r="208" spans="1:14" ht="15" x14ac:dyDescent="0.25">
      <c r="A208" s="36"/>
      <c r="B208" s="712" t="s">
        <v>358</v>
      </c>
      <c r="C208" s="713"/>
      <c r="D208" s="713"/>
      <c r="E208" s="713"/>
      <c r="F208" s="713"/>
      <c r="G208" s="713"/>
      <c r="H208" s="713"/>
      <c r="I208" s="713"/>
      <c r="J208" s="713"/>
      <c r="K208" s="713"/>
      <c r="L208" s="713"/>
      <c r="M208" s="95"/>
      <c r="N208" s="45"/>
    </row>
    <row r="209" spans="1:14" ht="15" x14ac:dyDescent="0.25">
      <c r="A209" s="36"/>
      <c r="B209" s="712" t="s">
        <v>710</v>
      </c>
      <c r="C209" s="713"/>
      <c r="D209" s="713"/>
      <c r="E209" s="713"/>
      <c r="F209" s="713"/>
      <c r="G209" s="713"/>
      <c r="H209" s="713"/>
      <c r="I209" s="713"/>
      <c r="J209" s="713"/>
      <c r="K209" s="713"/>
      <c r="L209" s="713"/>
      <c r="M209" s="95"/>
      <c r="N209" s="45"/>
    </row>
    <row r="210" spans="1:14" ht="15.6" x14ac:dyDescent="0.3">
      <c r="A210" s="36"/>
      <c r="B210" s="81"/>
      <c r="C210" s="100"/>
      <c r="D210" s="100"/>
      <c r="E210" s="95"/>
      <c r="F210" s="95"/>
      <c r="G210" s="95"/>
      <c r="H210" s="95"/>
      <c r="I210" s="95"/>
      <c r="J210" s="95"/>
      <c r="K210" s="95"/>
      <c r="L210" s="95"/>
      <c r="M210" s="95"/>
      <c r="N210" s="45"/>
    </row>
    <row r="211" spans="1:14" ht="15" x14ac:dyDescent="0.25">
      <c r="A211" s="36"/>
      <c r="B211" s="712" t="s">
        <v>533</v>
      </c>
      <c r="C211" s="713"/>
      <c r="D211" s="713"/>
      <c r="E211" s="713"/>
      <c r="F211" s="713"/>
      <c r="G211" s="713"/>
      <c r="H211" s="713"/>
      <c r="I211" s="713"/>
      <c r="J211" s="713"/>
      <c r="K211" s="713"/>
      <c r="L211" s="713"/>
      <c r="M211" s="95"/>
      <c r="N211" s="45"/>
    </row>
    <row r="212" spans="1:14" ht="15.6" x14ac:dyDescent="0.3">
      <c r="A212" s="36"/>
      <c r="B212" s="81"/>
      <c r="C212" s="100"/>
      <c r="D212" s="100"/>
      <c r="E212" s="95"/>
      <c r="F212" s="95"/>
      <c r="G212" s="95"/>
      <c r="H212" s="95"/>
      <c r="I212" s="95"/>
      <c r="J212" s="95"/>
      <c r="K212" s="95"/>
      <c r="L212" s="95"/>
      <c r="M212" s="95"/>
      <c r="N212" s="45"/>
    </row>
    <row r="213" spans="1:14" ht="15" x14ac:dyDescent="0.25">
      <c r="A213" s="36"/>
      <c r="B213" s="712" t="s">
        <v>387</v>
      </c>
      <c r="C213" s="713"/>
      <c r="D213" s="713"/>
      <c r="E213" s="713"/>
      <c r="F213" s="713"/>
      <c r="G213" s="713"/>
      <c r="H213" s="713"/>
      <c r="I213" s="713"/>
      <c r="J213" s="713"/>
      <c r="K213" s="713"/>
      <c r="L213" s="713"/>
      <c r="M213" s="95"/>
      <c r="N213" s="45"/>
    </row>
    <row r="214" spans="1:14" ht="15" x14ac:dyDescent="0.25">
      <c r="A214" s="36"/>
      <c r="B214" s="712" t="s">
        <v>388</v>
      </c>
      <c r="C214" s="713"/>
      <c r="D214" s="713"/>
      <c r="E214" s="713"/>
      <c r="F214" s="713"/>
      <c r="G214" s="713"/>
      <c r="H214" s="713"/>
      <c r="I214" s="713"/>
      <c r="J214" s="713"/>
      <c r="K214" s="713"/>
      <c r="L214" s="713"/>
      <c r="M214" s="95"/>
      <c r="N214" s="45"/>
    </row>
    <row r="215" spans="1:14" ht="15.6" x14ac:dyDescent="0.3">
      <c r="A215" s="36"/>
      <c r="B215" s="100"/>
      <c r="C215" s="100"/>
      <c r="D215" s="100"/>
      <c r="E215" s="95"/>
      <c r="F215" s="95"/>
      <c r="G215" s="95"/>
      <c r="H215" s="95"/>
      <c r="I215" s="95"/>
      <c r="J215" s="95"/>
      <c r="K215" s="95"/>
      <c r="L215" s="95"/>
      <c r="M215" s="95"/>
      <c r="N215" s="45"/>
    </row>
    <row r="216" spans="1:14" ht="15.6" x14ac:dyDescent="0.3">
      <c r="A216" s="36"/>
      <c r="B216" s="81" t="s">
        <v>696</v>
      </c>
      <c r="C216" s="100"/>
      <c r="D216" s="100"/>
      <c r="E216" s="95"/>
      <c r="F216" s="95"/>
      <c r="G216" s="95"/>
      <c r="H216" s="95"/>
      <c r="I216" s="95"/>
      <c r="J216" s="95"/>
      <c r="K216" s="95"/>
      <c r="L216" s="95"/>
      <c r="M216" s="95"/>
      <c r="N216" s="45"/>
    </row>
    <row r="217" spans="1:14" ht="15" x14ac:dyDescent="0.25">
      <c r="A217" s="36"/>
      <c r="B217" s="712" t="s">
        <v>389</v>
      </c>
      <c r="C217" s="713"/>
      <c r="D217" s="713"/>
      <c r="E217" s="713"/>
      <c r="F217" s="713"/>
      <c r="G217" s="713"/>
      <c r="H217" s="713"/>
      <c r="I217" s="713"/>
      <c r="J217" s="713"/>
      <c r="K217" s="713"/>
      <c r="L217" s="713"/>
      <c r="M217" s="95"/>
      <c r="N217" s="45"/>
    </row>
    <row r="218" spans="1:14" ht="15.6" x14ac:dyDescent="0.3">
      <c r="A218" s="36"/>
      <c r="B218" s="81"/>
      <c r="C218" s="100"/>
      <c r="D218" s="100"/>
      <c r="E218" s="95"/>
      <c r="F218" s="95"/>
      <c r="G218" s="95"/>
      <c r="H218" s="95"/>
      <c r="I218" s="95"/>
      <c r="J218" s="95"/>
      <c r="K218" s="95"/>
      <c r="L218" s="95"/>
      <c r="M218" s="95"/>
      <c r="N218" s="45"/>
    </row>
    <row r="219" spans="1:14" ht="15.6" x14ac:dyDescent="0.3">
      <c r="A219" s="36"/>
      <c r="B219" s="183" t="s">
        <v>376</v>
      </c>
      <c r="C219" s="100"/>
      <c r="D219" s="100"/>
      <c r="E219" s="95"/>
      <c r="F219" s="95"/>
      <c r="G219" s="95"/>
      <c r="H219" s="95"/>
      <c r="I219" s="95"/>
      <c r="J219" s="95"/>
      <c r="K219" s="95"/>
      <c r="L219" s="95"/>
      <c r="M219" s="95"/>
      <c r="N219" s="45"/>
    </row>
    <row r="220" spans="1:14" ht="15.6" x14ac:dyDescent="0.3">
      <c r="A220" s="36"/>
      <c r="B220" s="183" t="s">
        <v>377</v>
      </c>
      <c r="C220" s="100"/>
      <c r="D220" s="100"/>
      <c r="E220" s="95"/>
      <c r="F220" s="95"/>
      <c r="G220" s="95"/>
      <c r="H220" s="95"/>
      <c r="I220" s="95"/>
      <c r="J220" s="95"/>
      <c r="K220" s="95"/>
      <c r="L220" s="95"/>
      <c r="M220" s="95"/>
      <c r="N220" s="45"/>
    </row>
    <row r="221" spans="1:14" ht="15.6" x14ac:dyDescent="0.3">
      <c r="A221" s="36"/>
      <c r="B221" s="183"/>
      <c r="C221" s="100"/>
      <c r="D221" s="100"/>
      <c r="E221" s="95"/>
      <c r="F221" s="95"/>
      <c r="G221" s="95"/>
      <c r="H221" s="95"/>
      <c r="I221" s="95"/>
      <c r="J221" s="95"/>
      <c r="K221" s="95"/>
      <c r="L221" s="95"/>
      <c r="M221" s="95"/>
      <c r="N221" s="45"/>
    </row>
    <row r="222" spans="1:14" ht="9.75" customHeight="1" x14ac:dyDescent="0.3">
      <c r="A222" s="36"/>
      <c r="B222" s="32"/>
      <c r="C222" s="192"/>
      <c r="D222" s="192"/>
      <c r="E222" s="98"/>
      <c r="F222" s="98"/>
      <c r="G222" s="98"/>
      <c r="H222" s="98"/>
      <c r="I222" s="98"/>
      <c r="J222" s="98"/>
      <c r="K222" s="98"/>
      <c r="L222" s="98"/>
      <c r="M222" s="98"/>
      <c r="N222" s="71"/>
    </row>
    <row r="223" spans="1:14" ht="21" x14ac:dyDescent="0.4">
      <c r="A223" s="38"/>
      <c r="B223" s="182" t="s">
        <v>482</v>
      </c>
      <c r="C223" s="100"/>
      <c r="D223" s="100"/>
      <c r="E223" s="95"/>
      <c r="F223" s="95"/>
      <c r="G223" s="95"/>
      <c r="H223" s="95"/>
      <c r="I223" s="95"/>
      <c r="J223" s="95"/>
      <c r="K223" s="95"/>
      <c r="L223" s="95"/>
      <c r="M223" s="95"/>
      <c r="N223" s="45"/>
    </row>
    <row r="224" spans="1:14" ht="9.75" customHeight="1" x14ac:dyDescent="0.4">
      <c r="A224" s="36"/>
      <c r="B224" s="182"/>
      <c r="C224" s="100"/>
      <c r="D224" s="100"/>
      <c r="E224" s="95"/>
      <c r="F224" s="95"/>
      <c r="G224" s="95"/>
      <c r="H224" s="95"/>
      <c r="I224" s="95"/>
      <c r="J224" s="95"/>
      <c r="K224" s="95"/>
      <c r="L224" s="95"/>
      <c r="M224" s="95"/>
      <c r="N224" s="45"/>
    </row>
    <row r="225" spans="1:14" ht="15" x14ac:dyDescent="0.25">
      <c r="A225" s="36"/>
      <c r="B225" s="712" t="s">
        <v>483</v>
      </c>
      <c r="C225" s="713"/>
      <c r="D225" s="713"/>
      <c r="E225" s="713"/>
      <c r="F225" s="713"/>
      <c r="G225" s="713"/>
      <c r="H225" s="713"/>
      <c r="I225" s="713"/>
      <c r="J225" s="713"/>
      <c r="K225" s="713"/>
      <c r="L225" s="713"/>
      <c r="M225" s="95"/>
      <c r="N225" s="45"/>
    </row>
    <row r="226" spans="1:14" ht="15" x14ac:dyDescent="0.25">
      <c r="A226" s="36"/>
      <c r="B226" s="712" t="s">
        <v>484</v>
      </c>
      <c r="C226" s="713"/>
      <c r="D226" s="713"/>
      <c r="E226" s="713"/>
      <c r="F226" s="713"/>
      <c r="G226" s="713"/>
      <c r="H226" s="713"/>
      <c r="I226" s="713"/>
      <c r="J226" s="713"/>
      <c r="K226" s="713"/>
      <c r="L226" s="713"/>
      <c r="M226" s="95"/>
      <c r="N226" s="45"/>
    </row>
    <row r="227" spans="1:14" ht="15.6" x14ac:dyDescent="0.3">
      <c r="A227" s="36"/>
      <c r="B227" s="81"/>
      <c r="C227" s="100"/>
      <c r="D227" s="100"/>
      <c r="E227" s="95"/>
      <c r="F227" s="95"/>
      <c r="G227" s="95"/>
      <c r="H227" s="95"/>
      <c r="I227" s="95"/>
      <c r="J227" s="95"/>
      <c r="K227" s="95"/>
      <c r="L227" s="95"/>
      <c r="M227" s="95"/>
      <c r="N227" s="45"/>
    </row>
    <row r="228" spans="1:14" ht="15" x14ac:dyDescent="0.25">
      <c r="A228" s="36"/>
      <c r="B228" s="712" t="s">
        <v>572</v>
      </c>
      <c r="C228" s="713"/>
      <c r="D228" s="713"/>
      <c r="E228" s="713"/>
      <c r="F228" s="713"/>
      <c r="G228" s="713"/>
      <c r="H228" s="713"/>
      <c r="I228" s="713"/>
      <c r="J228" s="713"/>
      <c r="K228" s="713"/>
      <c r="L228" s="713"/>
      <c r="M228" s="95"/>
      <c r="N228" s="45"/>
    </row>
    <row r="229" spans="1:14" ht="15" x14ac:dyDescent="0.25">
      <c r="A229" s="36"/>
      <c r="B229" s="712" t="s">
        <v>697</v>
      </c>
      <c r="C229" s="713"/>
      <c r="D229" s="713"/>
      <c r="E229" s="713"/>
      <c r="F229" s="713"/>
      <c r="G229" s="713"/>
      <c r="H229" s="713"/>
      <c r="I229" s="713"/>
      <c r="J229" s="713"/>
      <c r="K229" s="713"/>
      <c r="L229" s="713"/>
      <c r="M229" s="95"/>
      <c r="N229" s="45"/>
    </row>
    <row r="230" spans="1:14" ht="15.6" x14ac:dyDescent="0.3">
      <c r="A230" s="36"/>
      <c r="B230" s="81"/>
      <c r="C230" s="100"/>
      <c r="D230" s="100"/>
      <c r="E230" s="95"/>
      <c r="F230" s="95"/>
      <c r="G230" s="95"/>
      <c r="H230" s="95"/>
      <c r="I230" s="95"/>
      <c r="J230" s="95"/>
      <c r="K230" s="95"/>
      <c r="L230" s="95"/>
      <c r="M230" s="95"/>
      <c r="N230" s="45"/>
    </row>
    <row r="231" spans="1:14" ht="15" x14ac:dyDescent="0.25">
      <c r="A231" s="36"/>
      <c r="B231" s="712" t="s">
        <v>485</v>
      </c>
      <c r="C231" s="713"/>
      <c r="D231" s="713"/>
      <c r="E231" s="713"/>
      <c r="F231" s="713"/>
      <c r="G231" s="713"/>
      <c r="H231" s="713"/>
      <c r="I231" s="713"/>
      <c r="J231" s="713"/>
      <c r="K231" s="713"/>
      <c r="L231" s="713"/>
      <c r="M231" s="95"/>
      <c r="N231" s="45"/>
    </row>
    <row r="232" spans="1:14" ht="15" x14ac:dyDescent="0.25">
      <c r="A232" s="36"/>
      <c r="B232" s="712" t="s">
        <v>487</v>
      </c>
      <c r="C232" s="713"/>
      <c r="D232" s="713"/>
      <c r="E232" s="713"/>
      <c r="F232" s="713"/>
      <c r="G232" s="713"/>
      <c r="H232" s="713"/>
      <c r="I232" s="713"/>
      <c r="J232" s="713"/>
      <c r="K232" s="713"/>
      <c r="L232" s="713"/>
      <c r="M232" s="95"/>
      <c r="N232" s="45"/>
    </row>
    <row r="233" spans="1:14" ht="15.6" x14ac:dyDescent="0.3">
      <c r="A233" s="36"/>
      <c r="B233" s="100"/>
      <c r="C233" s="100"/>
      <c r="D233" s="100"/>
      <c r="E233" s="95"/>
      <c r="F233" s="95"/>
      <c r="G233" s="95"/>
      <c r="H233" s="95"/>
      <c r="I233" s="95"/>
      <c r="J233" s="95"/>
      <c r="K233" s="95"/>
      <c r="L233" s="95"/>
      <c r="M233" s="95"/>
      <c r="N233" s="45"/>
    </row>
    <row r="234" spans="1:14" ht="15.6" x14ac:dyDescent="0.3">
      <c r="A234" s="36"/>
      <c r="B234" s="81" t="s">
        <v>696</v>
      </c>
      <c r="C234" s="100"/>
      <c r="D234" s="100"/>
      <c r="E234" s="95"/>
      <c r="F234" s="95"/>
      <c r="G234" s="95"/>
      <c r="H234" s="95"/>
      <c r="I234" s="95"/>
      <c r="J234" s="95"/>
      <c r="K234" s="95"/>
      <c r="L234" s="95"/>
      <c r="M234" s="95"/>
      <c r="N234" s="45"/>
    </row>
    <row r="235" spans="1:14" ht="15" x14ac:dyDescent="0.25">
      <c r="A235" s="36"/>
      <c r="B235" s="712" t="s">
        <v>486</v>
      </c>
      <c r="C235" s="713"/>
      <c r="D235" s="713"/>
      <c r="E235" s="713"/>
      <c r="F235" s="713"/>
      <c r="G235" s="713"/>
      <c r="H235" s="713"/>
      <c r="I235" s="713"/>
      <c r="J235" s="713"/>
      <c r="K235" s="713"/>
      <c r="L235" s="713"/>
      <c r="M235" s="95"/>
      <c r="N235" s="45"/>
    </row>
    <row r="236" spans="1:14" ht="15.6" x14ac:dyDescent="0.3">
      <c r="A236" s="36"/>
      <c r="B236" s="81"/>
      <c r="C236" s="100"/>
      <c r="D236" s="100"/>
      <c r="E236" s="95"/>
      <c r="F236" s="95"/>
      <c r="G236" s="95"/>
      <c r="H236" s="95"/>
      <c r="I236" s="95"/>
      <c r="J236" s="95"/>
      <c r="K236" s="95"/>
      <c r="L236" s="95"/>
      <c r="M236" s="95"/>
      <c r="N236" s="45"/>
    </row>
    <row r="237" spans="1:14" ht="15.6" x14ac:dyDescent="0.3">
      <c r="A237" s="36"/>
      <c r="B237" s="183" t="s">
        <v>376</v>
      </c>
      <c r="C237" s="100"/>
      <c r="D237" s="100"/>
      <c r="E237" s="95"/>
      <c r="F237" s="95"/>
      <c r="G237" s="95"/>
      <c r="H237" s="95"/>
      <c r="I237" s="95"/>
      <c r="J237" s="95"/>
      <c r="K237" s="95"/>
      <c r="L237" s="95"/>
      <c r="M237" s="95"/>
      <c r="N237" s="45"/>
    </row>
    <row r="238" spans="1:14" ht="15.6" x14ac:dyDescent="0.3">
      <c r="A238" s="36"/>
      <c r="B238" s="183" t="s">
        <v>377</v>
      </c>
      <c r="C238" s="100"/>
      <c r="D238" s="100"/>
      <c r="E238" s="95"/>
      <c r="F238" s="95"/>
      <c r="G238" s="95"/>
      <c r="H238" s="95"/>
      <c r="I238" s="95"/>
      <c r="J238" s="95"/>
      <c r="K238" s="95"/>
      <c r="L238" s="95"/>
      <c r="M238" s="95"/>
      <c r="N238" s="45"/>
    </row>
    <row r="239" spans="1:14" ht="15.6" thickBot="1" x14ac:dyDescent="0.3">
      <c r="A239" s="36"/>
      <c r="B239" s="94"/>
      <c r="C239" s="94"/>
      <c r="D239" s="94"/>
      <c r="E239" s="94"/>
      <c r="F239" s="94"/>
      <c r="G239" s="94"/>
      <c r="H239" s="94"/>
      <c r="I239" s="94"/>
      <c r="J239" s="94"/>
      <c r="K239" s="94"/>
      <c r="L239" s="94"/>
      <c r="M239" s="94"/>
      <c r="N239" s="146"/>
    </row>
    <row r="240" spans="1:14" ht="15" x14ac:dyDescent="0.25">
      <c r="A240" s="36"/>
      <c r="B240" s="148"/>
      <c r="C240" s="149"/>
      <c r="D240" s="149"/>
      <c r="E240" s="149"/>
      <c r="F240" s="149"/>
      <c r="G240" s="149"/>
      <c r="H240" s="149"/>
      <c r="I240" s="149"/>
      <c r="J240" s="149"/>
      <c r="K240" s="149"/>
      <c r="L240" s="150"/>
      <c r="M240" s="94"/>
      <c r="N240" s="146"/>
    </row>
    <row r="241" spans="1:14" ht="15" x14ac:dyDescent="0.25">
      <c r="A241" s="145"/>
      <c r="B241" s="151"/>
      <c r="C241" s="333" t="s">
        <v>365</v>
      </c>
      <c r="D241" s="152"/>
      <c r="E241" s="152"/>
      <c r="F241" s="152"/>
      <c r="G241" s="152"/>
      <c r="H241" s="152"/>
      <c r="I241" s="152"/>
      <c r="J241" s="152"/>
      <c r="K241" s="152"/>
      <c r="L241" s="153"/>
      <c r="M241" s="94"/>
      <c r="N241" s="146"/>
    </row>
    <row r="242" spans="1:14" ht="15" x14ac:dyDescent="0.25">
      <c r="A242" s="145"/>
      <c r="B242" s="151"/>
      <c r="C242" s="152"/>
      <c r="D242" s="152"/>
      <c r="E242" s="152"/>
      <c r="F242" s="152"/>
      <c r="G242" s="152"/>
      <c r="H242" s="152"/>
      <c r="I242" s="152"/>
      <c r="J242" s="152"/>
      <c r="K242" s="152"/>
      <c r="L242" s="153"/>
      <c r="M242" s="94"/>
      <c r="N242" s="146"/>
    </row>
    <row r="243" spans="1:14" ht="15.6" x14ac:dyDescent="0.3">
      <c r="A243" s="145"/>
      <c r="B243" s="151"/>
      <c r="C243" s="152"/>
      <c r="D243" s="154" t="str">
        <f>'WK0 - Input data'!$E$10&amp;" "&amp;'WK0 - Input data'!$E$11</f>
        <v>Anthony Rush</v>
      </c>
      <c r="E243" s="152"/>
      <c r="F243" s="3"/>
      <c r="G243" s="333" t="str">
        <f>'WK0 - Input data'!E13</f>
        <v>(02) 9113 7790</v>
      </c>
      <c r="H243" s="152"/>
      <c r="I243" s="152"/>
      <c r="J243" s="152"/>
      <c r="K243" s="152"/>
      <c r="L243" s="153"/>
      <c r="M243" s="94"/>
      <c r="N243" s="146"/>
    </row>
    <row r="244" spans="1:14" ht="15" x14ac:dyDescent="0.25">
      <c r="A244" s="145"/>
      <c r="B244" s="151"/>
      <c r="C244" s="152"/>
      <c r="D244" s="3"/>
      <c r="E244" s="152"/>
      <c r="F244" s="3"/>
      <c r="G244" s="333" t="str">
        <f>'WK0 - Input data'!E12</f>
        <v>anthony_rush@ipart.nsw.gov.au</v>
      </c>
      <c r="H244" s="152"/>
      <c r="I244" s="152"/>
      <c r="J244" s="152"/>
      <c r="K244" s="152"/>
      <c r="L244" s="153"/>
      <c r="M244" s="94"/>
      <c r="N244" s="146"/>
    </row>
    <row r="245" spans="1:14" ht="15" x14ac:dyDescent="0.25">
      <c r="A245" s="145"/>
      <c r="B245" s="151"/>
      <c r="C245" s="152"/>
      <c r="D245" s="152"/>
      <c r="E245" s="152"/>
      <c r="F245" s="152"/>
      <c r="G245" s="152"/>
      <c r="H245" s="152"/>
      <c r="I245" s="152"/>
      <c r="J245" s="152"/>
      <c r="K245" s="152"/>
      <c r="L245" s="153"/>
      <c r="M245" s="94"/>
      <c r="N245" s="146"/>
    </row>
    <row r="246" spans="1:14" ht="15.6" x14ac:dyDescent="0.3">
      <c r="A246" s="145"/>
      <c r="B246" s="151"/>
      <c r="C246" s="152"/>
      <c r="D246" s="154" t="str">
        <f>'WK0 - Input data'!$E$16&amp;" "&amp;'WK0 - Input data'!$E$17&amp;" (who in "&amp;'WK0 - Input data'!E10&amp;"'s absence, will direct you to the appropriate IPART officer)"</f>
        <v>Arsh Suri (who in Anthony's absence, will direct you to the appropriate IPART officer)</v>
      </c>
      <c r="E246" s="152"/>
      <c r="F246" s="152"/>
      <c r="G246" s="152"/>
      <c r="H246" s="152"/>
      <c r="I246" s="152"/>
      <c r="J246" s="152"/>
      <c r="K246" s="152"/>
      <c r="L246" s="153"/>
      <c r="M246" s="94"/>
      <c r="N246" s="146"/>
    </row>
    <row r="247" spans="1:14" ht="15.6" x14ac:dyDescent="0.3">
      <c r="A247" s="145"/>
      <c r="B247" s="151"/>
      <c r="C247" s="152"/>
      <c r="E247" s="154"/>
      <c r="F247" s="3"/>
      <c r="G247" s="333" t="str">
        <f>'WK0 - Input data'!E19</f>
        <v>(02) 9113 7730</v>
      </c>
      <c r="H247" s="333"/>
      <c r="I247" s="333"/>
      <c r="K247" s="152"/>
      <c r="L247" s="153"/>
      <c r="M247" s="94"/>
      <c r="N247" s="146"/>
    </row>
    <row r="248" spans="1:14" ht="15" x14ac:dyDescent="0.25">
      <c r="A248" s="145"/>
      <c r="B248" s="151"/>
      <c r="C248" s="152"/>
      <c r="D248" s="3"/>
      <c r="E248" s="152"/>
      <c r="F248" s="3"/>
      <c r="G248" s="333" t="str">
        <f>'WK0 - Input data'!E18</f>
        <v>arsh_suri@ipart.nsw.gov.au</v>
      </c>
      <c r="H248" s="333"/>
      <c r="I248" s="333"/>
      <c r="K248" s="152"/>
      <c r="L248" s="153"/>
      <c r="M248" s="94"/>
      <c r="N248" s="146"/>
    </row>
    <row r="249" spans="1:14" ht="15.6" thickBot="1" x14ac:dyDescent="0.3">
      <c r="A249" s="145"/>
      <c r="B249" s="155"/>
      <c r="C249" s="156"/>
      <c r="D249" s="156"/>
      <c r="E249" s="156"/>
      <c r="F249" s="156"/>
      <c r="G249" s="156"/>
      <c r="H249" s="156"/>
      <c r="I249" s="156"/>
      <c r="J249" s="156"/>
      <c r="K249" s="156"/>
      <c r="L249" s="157"/>
      <c r="M249" s="94"/>
      <c r="N249" s="146"/>
    </row>
    <row r="250" spans="1:14" ht="15.6" x14ac:dyDescent="0.3">
      <c r="A250" s="145"/>
      <c r="B250" s="147"/>
      <c r="C250" s="147"/>
      <c r="D250" s="147"/>
      <c r="E250" s="147"/>
      <c r="F250" s="147"/>
      <c r="G250" s="147"/>
      <c r="H250" s="147"/>
      <c r="I250" s="328"/>
      <c r="J250" s="329"/>
      <c r="K250" s="330"/>
      <c r="L250" s="327"/>
      <c r="M250" s="147"/>
      <c r="N250" s="205"/>
    </row>
    <row r="251" spans="1:14" ht="15" x14ac:dyDescent="0.25">
      <c r="A251" s="145"/>
      <c r="I251" s="301"/>
    </row>
    <row r="252" spans="1:14" ht="15" x14ac:dyDescent="0.25">
      <c r="A252" s="94"/>
    </row>
  </sheetData>
  <sheetProtection password="CC77" sheet="1"/>
  <mergeCells count="87">
    <mergeCell ref="B235:L235"/>
    <mergeCell ref="B226:L226"/>
    <mergeCell ref="B228:L228"/>
    <mergeCell ref="B229:L229"/>
    <mergeCell ref="B231:L231"/>
    <mergeCell ref="B232:L232"/>
    <mergeCell ref="B25:K25"/>
    <mergeCell ref="B1:K1"/>
    <mergeCell ref="B2:K2"/>
    <mergeCell ref="B7:K7"/>
    <mergeCell ref="B8:K8"/>
    <mergeCell ref="B10:K10"/>
    <mergeCell ref="B11:K11"/>
    <mergeCell ref="B13:K13"/>
    <mergeCell ref="D16:I16"/>
    <mergeCell ref="D15:I15"/>
    <mergeCell ref="C45:L45"/>
    <mergeCell ref="B43:L43"/>
    <mergeCell ref="D47:L47"/>
    <mergeCell ref="C50:L50"/>
    <mergeCell ref="B30:L30"/>
    <mergeCell ref="B31:L31"/>
    <mergeCell ref="C48:L48"/>
    <mergeCell ref="B38:L38"/>
    <mergeCell ref="B39:L39"/>
    <mergeCell ref="B44:L44"/>
    <mergeCell ref="D46:L46"/>
    <mergeCell ref="B42:L42"/>
    <mergeCell ref="B40:L40"/>
    <mergeCell ref="B225:L225"/>
    <mergeCell ref="D49:L49"/>
    <mergeCell ref="D51:L51"/>
    <mergeCell ref="D53:L53"/>
    <mergeCell ref="C52:L52"/>
    <mergeCell ref="D58:L58"/>
    <mergeCell ref="C54:L54"/>
    <mergeCell ref="C59:L59"/>
    <mergeCell ref="C56:L56"/>
    <mergeCell ref="D57:L57"/>
    <mergeCell ref="D55:L55"/>
    <mergeCell ref="D60:L60"/>
    <mergeCell ref="C61:L61"/>
    <mergeCell ref="D92:L92"/>
    <mergeCell ref="B63:L63"/>
    <mergeCell ref="C78:L78"/>
    <mergeCell ref="C91:L91"/>
    <mergeCell ref="C70:L70"/>
    <mergeCell ref="C72:L72"/>
    <mergeCell ref="C74:L74"/>
    <mergeCell ref="C86:L86"/>
    <mergeCell ref="D79:L79"/>
    <mergeCell ref="D80:L80"/>
    <mergeCell ref="C76:L76"/>
    <mergeCell ref="C83:L83"/>
    <mergeCell ref="D84:L84"/>
    <mergeCell ref="B217:L217"/>
    <mergeCell ref="C96:L96"/>
    <mergeCell ref="D97:L97"/>
    <mergeCell ref="B178:L178"/>
    <mergeCell ref="B171:L171"/>
    <mergeCell ref="B179:L179"/>
    <mergeCell ref="B163:L163"/>
    <mergeCell ref="D98:L98"/>
    <mergeCell ref="B213:L213"/>
    <mergeCell ref="B214:L214"/>
    <mergeCell ref="B197:L197"/>
    <mergeCell ref="B198:L198"/>
    <mergeCell ref="B199:L199"/>
    <mergeCell ref="B200:L200"/>
    <mergeCell ref="B211:L211"/>
    <mergeCell ref="B208:L208"/>
    <mergeCell ref="B201:L201"/>
    <mergeCell ref="B203:L203"/>
    <mergeCell ref="B209:L209"/>
    <mergeCell ref="A18:N18"/>
    <mergeCell ref="D164:L164"/>
    <mergeCell ref="B184:L184"/>
    <mergeCell ref="B187:L187"/>
    <mergeCell ref="B194:L194"/>
    <mergeCell ref="B195:L195"/>
    <mergeCell ref="B188:L188"/>
    <mergeCell ref="B189:L189"/>
    <mergeCell ref="D165:L166"/>
    <mergeCell ref="D93:L93"/>
    <mergeCell ref="C68:L68"/>
    <mergeCell ref="D88:L88"/>
    <mergeCell ref="C90:L90"/>
  </mergeCells>
  <phoneticPr fontId="17" type="noConversion"/>
  <hyperlinks>
    <hyperlink ref="G244" r:id="rId1" display="tony_camenzuli@ipart.nsw.gov.au"/>
  </hyperlinks>
  <printOptions horizontalCentered="1"/>
  <pageMargins left="0.23622047244094491" right="0.35433070866141736" top="0.19685039370078741" bottom="0.15748031496062992" header="0.15748031496062992" footer="0.19685039370078741"/>
  <pageSetup paperSize="9" scale="75" fitToHeight="0" orientation="portrait" r:id="rId2"/>
  <headerFooter alignWithMargins="0"/>
  <rowBreaks count="3" manualBreakCount="3">
    <brk id="64" max="13" man="1"/>
    <brk id="99" max="16383" man="1"/>
    <brk id="159"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71"/>
  <sheetViews>
    <sheetView topLeftCell="B19" workbookViewId="0">
      <selection activeCell="D22" sqref="D22"/>
    </sheetView>
  </sheetViews>
  <sheetFormatPr defaultRowHeight="11.4" x14ac:dyDescent="0.2"/>
  <cols>
    <col min="1" max="1" width="2.75" hidden="1" customWidth="1"/>
    <col min="2" max="2" width="2.375" customWidth="1"/>
    <col min="3" max="3" width="39.625" customWidth="1"/>
    <col min="4" max="14" width="11.25" customWidth="1"/>
    <col min="15" max="17" width="12" customWidth="1"/>
    <col min="20" max="20" width="15.625" customWidth="1"/>
  </cols>
  <sheetData>
    <row r="1" spans="1:17" x14ac:dyDescent="0.2">
      <c r="A1" s="210"/>
      <c r="B1" s="210"/>
      <c r="C1" s="210"/>
      <c r="D1" s="210"/>
      <c r="E1" s="210"/>
      <c r="F1" s="210"/>
      <c r="G1" s="210"/>
      <c r="H1" s="210"/>
      <c r="I1" s="210"/>
      <c r="J1" s="210"/>
      <c r="K1" s="210"/>
      <c r="L1" s="210"/>
      <c r="M1" s="210"/>
      <c r="N1" s="210"/>
      <c r="O1" s="210"/>
      <c r="P1" s="210"/>
      <c r="Q1" s="210"/>
    </row>
    <row r="2" spans="1:17" ht="15.6" x14ac:dyDescent="0.3">
      <c r="A2" s="210"/>
      <c r="B2" s="210"/>
      <c r="C2" s="845" t="str">
        <f>'WK1 - Identification'!E11</f>
        <v>Lismore City Council</v>
      </c>
      <c r="D2" s="863"/>
      <c r="E2" s="846"/>
      <c r="F2" s="846"/>
      <c r="G2" s="847"/>
      <c r="H2" s="209"/>
      <c r="I2" s="209"/>
      <c r="J2" s="209"/>
      <c r="K2" s="209"/>
      <c r="L2" s="209"/>
      <c r="M2" s="209"/>
      <c r="N2" s="210"/>
      <c r="O2" s="210"/>
      <c r="P2" s="210"/>
      <c r="Q2" s="210"/>
    </row>
    <row r="3" spans="1:17" ht="3.75" customHeight="1" x14ac:dyDescent="0.2">
      <c r="A3" s="210"/>
      <c r="B3" s="210"/>
      <c r="C3" s="210"/>
      <c r="D3" s="210"/>
      <c r="E3" s="210"/>
      <c r="F3" s="210"/>
      <c r="G3" s="210"/>
      <c r="H3" s="210"/>
      <c r="I3" s="210"/>
      <c r="J3" s="210"/>
      <c r="K3" s="210"/>
      <c r="L3" s="210"/>
      <c r="M3" s="210"/>
      <c r="N3" s="210"/>
      <c r="O3" s="210"/>
      <c r="P3" s="210"/>
      <c r="Q3" s="210"/>
    </row>
    <row r="4" spans="1:17" ht="28.95" customHeight="1" x14ac:dyDescent="0.4">
      <c r="A4" s="210"/>
      <c r="B4" s="854" t="s">
        <v>420</v>
      </c>
      <c r="C4" s="854"/>
      <c r="D4" s="854"/>
      <c r="E4" s="854"/>
      <c r="F4" s="854"/>
      <c r="G4" s="854"/>
      <c r="H4" s="854"/>
      <c r="I4" s="854"/>
      <c r="J4" s="854"/>
      <c r="K4" s="854"/>
      <c r="L4" s="854"/>
      <c r="M4" s="855"/>
      <c r="N4" s="855"/>
      <c r="O4" s="855"/>
      <c r="P4" s="210"/>
      <c r="Q4" s="210"/>
    </row>
    <row r="5" spans="1:17" ht="6" customHeight="1" x14ac:dyDescent="0.2">
      <c r="A5" s="210"/>
      <c r="B5" s="210"/>
      <c r="C5" s="210"/>
      <c r="D5" s="210"/>
      <c r="E5" s="210"/>
      <c r="F5" s="210"/>
      <c r="G5" s="210"/>
      <c r="H5" s="210"/>
      <c r="I5" s="210"/>
      <c r="J5" s="210"/>
      <c r="K5" s="210"/>
      <c r="L5" s="210"/>
      <c r="M5" s="210"/>
      <c r="N5" s="210"/>
      <c r="O5" s="210"/>
      <c r="P5" s="210"/>
      <c r="Q5" s="210"/>
    </row>
    <row r="6" spans="1:17" ht="15" customHeight="1" x14ac:dyDescent="0.3">
      <c r="A6" s="210"/>
      <c r="B6" s="210"/>
      <c r="C6" s="210"/>
      <c r="D6" s="210"/>
      <c r="E6" s="210"/>
      <c r="F6" s="37" t="s">
        <v>730</v>
      </c>
      <c r="G6" s="37"/>
      <c r="H6" s="37"/>
      <c r="I6" s="38"/>
      <c r="J6" s="210"/>
      <c r="K6" s="210"/>
      <c r="L6" s="210"/>
      <c r="M6" s="210"/>
      <c r="N6" s="210"/>
      <c r="O6" s="210"/>
      <c r="P6" s="210"/>
      <c r="Q6" s="210"/>
    </row>
    <row r="7" spans="1:17" ht="13.5" customHeight="1" x14ac:dyDescent="0.2">
      <c r="A7" s="210"/>
      <c r="B7" s="210"/>
      <c r="C7" s="210"/>
      <c r="D7" s="210"/>
      <c r="E7" s="210"/>
      <c r="F7" s="210"/>
      <c r="G7" s="210"/>
      <c r="H7" s="210"/>
      <c r="I7" s="210"/>
      <c r="J7" s="210"/>
      <c r="K7" s="210"/>
      <c r="L7" s="210"/>
      <c r="M7" s="210"/>
      <c r="N7" s="210"/>
      <c r="O7" s="210"/>
      <c r="P7" s="210"/>
      <c r="Q7" s="210"/>
    </row>
    <row r="8" spans="1:17" ht="22.8" x14ac:dyDescent="0.4">
      <c r="A8" s="314"/>
      <c r="B8" s="856" t="s">
        <v>421</v>
      </c>
      <c r="C8" s="856"/>
      <c r="D8" s="856"/>
      <c r="E8" s="856"/>
      <c r="F8" s="856"/>
      <c r="G8" s="856"/>
      <c r="H8" s="856"/>
      <c r="I8" s="856"/>
      <c r="J8" s="856"/>
      <c r="K8" s="856"/>
      <c r="L8" s="856"/>
      <c r="M8" s="855"/>
      <c r="N8" s="855"/>
      <c r="O8" s="855"/>
      <c r="P8" s="210"/>
      <c r="Q8" s="210"/>
    </row>
    <row r="9" spans="1:17" ht="10.199999999999999" customHeight="1" x14ac:dyDescent="0.4">
      <c r="A9" s="81"/>
      <c r="B9" s="208"/>
      <c r="C9" s="860" t="s">
        <v>687</v>
      </c>
      <c r="D9" s="860"/>
      <c r="E9" s="864"/>
      <c r="F9" s="864"/>
      <c r="G9" s="864"/>
      <c r="H9" s="864"/>
      <c r="I9" s="864"/>
      <c r="J9" s="864"/>
      <c r="K9" s="864"/>
      <c r="L9" s="864"/>
      <c r="M9" s="864"/>
      <c r="N9" s="864"/>
      <c r="O9" s="864"/>
      <c r="P9" s="210"/>
      <c r="Q9" s="210"/>
    </row>
    <row r="10" spans="1:17" ht="17.25" customHeight="1" x14ac:dyDescent="0.2">
      <c r="A10" s="38"/>
      <c r="B10" s="38"/>
      <c r="C10" s="864"/>
      <c r="D10" s="864"/>
      <c r="E10" s="864"/>
      <c r="F10" s="864"/>
      <c r="G10" s="864"/>
      <c r="H10" s="864"/>
      <c r="I10" s="864"/>
      <c r="J10" s="864"/>
      <c r="K10" s="864"/>
      <c r="L10" s="864"/>
      <c r="M10" s="864"/>
      <c r="N10" s="864"/>
      <c r="O10" s="864"/>
      <c r="P10" s="210"/>
      <c r="Q10" s="210"/>
    </row>
    <row r="11" spans="1:17" x14ac:dyDescent="0.2">
      <c r="A11" s="38"/>
      <c r="B11" s="38"/>
      <c r="C11" s="865"/>
      <c r="D11" s="865"/>
      <c r="E11" s="865"/>
      <c r="F11" s="865"/>
      <c r="G11" s="865"/>
      <c r="H11" s="865"/>
      <c r="I11" s="865"/>
      <c r="J11" s="865"/>
      <c r="K11" s="865"/>
      <c r="L11" s="865"/>
      <c r="M11" s="865"/>
      <c r="N11" s="865"/>
      <c r="O11" s="865"/>
      <c r="P11" s="210"/>
      <c r="Q11" s="210"/>
    </row>
    <row r="12" spans="1:17" x14ac:dyDescent="0.2">
      <c r="A12" s="38"/>
      <c r="B12" s="38"/>
      <c r="C12" s="865"/>
      <c r="D12" s="865"/>
      <c r="E12" s="865"/>
      <c r="F12" s="865"/>
      <c r="G12" s="865"/>
      <c r="H12" s="865"/>
      <c r="I12" s="865"/>
      <c r="J12" s="865"/>
      <c r="K12" s="865"/>
      <c r="L12" s="865"/>
      <c r="M12" s="865"/>
      <c r="N12" s="865"/>
      <c r="O12" s="865"/>
      <c r="P12" s="210"/>
      <c r="Q12" s="210"/>
    </row>
    <row r="13" spans="1:17" x14ac:dyDescent="0.2">
      <c r="A13" s="38"/>
      <c r="B13" s="38"/>
      <c r="C13" s="865"/>
      <c r="D13" s="865"/>
      <c r="E13" s="865"/>
      <c r="F13" s="865"/>
      <c r="G13" s="865"/>
      <c r="H13" s="865"/>
      <c r="I13" s="865"/>
      <c r="J13" s="865"/>
      <c r="K13" s="865"/>
      <c r="L13" s="865"/>
      <c r="M13" s="865"/>
      <c r="N13" s="865"/>
      <c r="O13" s="865"/>
      <c r="P13" s="210"/>
      <c r="Q13" s="210"/>
    </row>
    <row r="14" spans="1:17" x14ac:dyDescent="0.2">
      <c r="A14" s="38"/>
      <c r="B14" s="38"/>
      <c r="C14" s="865"/>
      <c r="D14" s="865"/>
      <c r="E14" s="865"/>
      <c r="F14" s="865"/>
      <c r="G14" s="865"/>
      <c r="H14" s="865"/>
      <c r="I14" s="865"/>
      <c r="J14" s="865"/>
      <c r="K14" s="865"/>
      <c r="L14" s="865"/>
      <c r="M14" s="865"/>
      <c r="N14" s="865"/>
      <c r="O14" s="865"/>
      <c r="P14" s="210"/>
      <c r="Q14" s="210"/>
    </row>
    <row r="15" spans="1:17" x14ac:dyDescent="0.2">
      <c r="A15" s="38"/>
      <c r="B15" s="38"/>
      <c r="C15" s="865"/>
      <c r="D15" s="865"/>
      <c r="E15" s="865"/>
      <c r="F15" s="865"/>
      <c r="G15" s="865"/>
      <c r="H15" s="865"/>
      <c r="I15" s="865"/>
      <c r="J15" s="865"/>
      <c r="K15" s="865"/>
      <c r="L15" s="865"/>
      <c r="M15" s="865"/>
      <c r="N15" s="865"/>
      <c r="O15" s="865"/>
      <c r="P15" s="210"/>
      <c r="Q15" s="210"/>
    </row>
    <row r="16" spans="1:17" x14ac:dyDescent="0.2">
      <c r="A16" s="38"/>
      <c r="B16" s="38"/>
      <c r="C16" s="865"/>
      <c r="D16" s="865"/>
      <c r="E16" s="865"/>
      <c r="F16" s="865"/>
      <c r="G16" s="865"/>
      <c r="H16" s="865"/>
      <c r="I16" s="865"/>
      <c r="J16" s="865"/>
      <c r="K16" s="865"/>
      <c r="L16" s="865"/>
      <c r="M16" s="865"/>
      <c r="N16" s="865"/>
      <c r="O16" s="865"/>
      <c r="P16" s="210"/>
      <c r="Q16" s="210"/>
    </row>
    <row r="17" spans="1:17" x14ac:dyDescent="0.2">
      <c r="A17" s="38"/>
      <c r="B17" s="38"/>
      <c r="C17" s="865"/>
      <c r="D17" s="865"/>
      <c r="E17" s="865"/>
      <c r="F17" s="865"/>
      <c r="G17" s="865"/>
      <c r="H17" s="865"/>
      <c r="I17" s="865"/>
      <c r="J17" s="865"/>
      <c r="K17" s="865"/>
      <c r="L17" s="865"/>
      <c r="M17" s="865"/>
      <c r="N17" s="865"/>
      <c r="O17" s="865"/>
      <c r="P17" s="210"/>
      <c r="Q17" s="210"/>
    </row>
    <row r="18" spans="1:17" ht="13.5" customHeight="1" x14ac:dyDescent="0.2">
      <c r="A18" s="38"/>
      <c r="B18" s="38"/>
      <c r="C18" s="865"/>
      <c r="D18" s="865"/>
      <c r="E18" s="865"/>
      <c r="F18" s="865"/>
      <c r="G18" s="865"/>
      <c r="H18" s="865"/>
      <c r="I18" s="865"/>
      <c r="J18" s="865"/>
      <c r="K18" s="865"/>
      <c r="L18" s="865"/>
      <c r="M18" s="865"/>
      <c r="N18" s="865"/>
      <c r="O18" s="865"/>
      <c r="P18" s="210"/>
      <c r="Q18" s="210"/>
    </row>
    <row r="19" spans="1:17" ht="6.75" customHeight="1" x14ac:dyDescent="0.3">
      <c r="A19" s="38"/>
      <c r="B19" s="83"/>
      <c r="C19" s="38"/>
      <c r="D19" s="38"/>
      <c r="E19" s="38"/>
      <c r="F19" s="38"/>
      <c r="G19" s="38"/>
      <c r="H19" s="38"/>
      <c r="I19" s="38"/>
      <c r="J19" s="38"/>
      <c r="K19" s="38"/>
      <c r="L19" s="38"/>
      <c r="M19" s="38"/>
      <c r="N19" s="38"/>
      <c r="O19" s="38"/>
      <c r="P19" s="38"/>
      <c r="Q19" s="38"/>
    </row>
    <row r="20" spans="1:17" ht="12" thickBot="1" x14ac:dyDescent="0.25"/>
    <row r="21" spans="1:17" ht="16.5" customHeight="1" thickBot="1" x14ac:dyDescent="0.35">
      <c r="C21" s="38"/>
      <c r="D21" s="38"/>
      <c r="E21" s="866" t="s">
        <v>771</v>
      </c>
      <c r="F21" s="867"/>
      <c r="G21" s="867"/>
      <c r="H21" s="867"/>
      <c r="I21" s="867"/>
      <c r="J21" s="867"/>
      <c r="K21" s="867"/>
      <c r="L21" s="867"/>
      <c r="M21" s="868"/>
      <c r="N21" s="868"/>
      <c r="O21" s="868"/>
      <c r="P21" s="872" t="s">
        <v>489</v>
      </c>
      <c r="Q21" s="872" t="s">
        <v>490</v>
      </c>
    </row>
    <row r="22" spans="1:17" ht="16.8" thickTop="1" thickBot="1" x14ac:dyDescent="0.35">
      <c r="C22" s="362"/>
      <c r="D22" s="504"/>
      <c r="E22" s="879"/>
      <c r="F22" s="876"/>
      <c r="G22" s="876"/>
      <c r="H22" s="876"/>
      <c r="I22" s="876"/>
      <c r="J22" s="876"/>
      <c r="K22" s="876"/>
      <c r="L22" s="876"/>
      <c r="M22" s="876"/>
      <c r="N22" s="876"/>
      <c r="O22" s="876"/>
      <c r="P22" s="873"/>
      <c r="Q22" s="873"/>
    </row>
    <row r="23" spans="1:17" ht="12.75" customHeight="1" x14ac:dyDescent="0.25">
      <c r="C23" s="363"/>
      <c r="D23" s="503" t="s">
        <v>424</v>
      </c>
      <c r="E23" s="364" t="s">
        <v>267</v>
      </c>
      <c r="F23" s="364" t="s">
        <v>268</v>
      </c>
      <c r="G23" s="364" t="s">
        <v>269</v>
      </c>
      <c r="H23" s="364" t="s">
        <v>270</v>
      </c>
      <c r="I23" s="364" t="s">
        <v>271</v>
      </c>
      <c r="J23" s="364" t="s">
        <v>272</v>
      </c>
      <c r="K23" s="364" t="s">
        <v>273</v>
      </c>
      <c r="L23" s="364" t="s">
        <v>274</v>
      </c>
      <c r="M23" s="364" t="s">
        <v>275</v>
      </c>
      <c r="N23" s="364" t="s">
        <v>276</v>
      </c>
      <c r="O23" s="870" t="s">
        <v>277</v>
      </c>
      <c r="P23" s="873"/>
      <c r="Q23" s="873"/>
    </row>
    <row r="24" spans="1:17" ht="13.8" thickBot="1" x14ac:dyDescent="0.3">
      <c r="C24" s="366"/>
      <c r="D24" s="689" t="str">
        <f>+'WK5b - Impact on Rates'!F28</f>
        <v>2017-18</v>
      </c>
      <c r="E24" s="699" t="str">
        <f>+'WK6 - Expenditure Program'!D26</f>
        <v>2018-19</v>
      </c>
      <c r="F24" s="699" t="str">
        <f>+'WK6 - Expenditure Program'!E26</f>
        <v>2019-20</v>
      </c>
      <c r="G24" s="699" t="str">
        <f>+'WK6 - Expenditure Program'!F26</f>
        <v>2020-21</v>
      </c>
      <c r="H24" s="699" t="str">
        <f>+'WK6 - Expenditure Program'!G26</f>
        <v>2021-22</v>
      </c>
      <c r="I24" s="699" t="str">
        <f>+'WK6 - Expenditure Program'!H26</f>
        <v>2022-23</v>
      </c>
      <c r="J24" s="699" t="str">
        <f>+'WK6 - Expenditure Program'!I26</f>
        <v>2023-24</v>
      </c>
      <c r="K24" s="699" t="str">
        <f>+'WK6 - Expenditure Program'!J26</f>
        <v>2024-25</v>
      </c>
      <c r="L24" s="699" t="str">
        <f>+'WK6 - Expenditure Program'!K26</f>
        <v>2025-26</v>
      </c>
      <c r="M24" s="699" t="str">
        <f>+'WK6 - Expenditure Program'!L26</f>
        <v>2026-27</v>
      </c>
      <c r="N24" s="699" t="str">
        <f>+'WK6 - Expenditure Program'!M26</f>
        <v>2027-28</v>
      </c>
      <c r="O24" s="871"/>
      <c r="P24" s="874"/>
      <c r="Q24" s="874"/>
    </row>
    <row r="25" spans="1:17" ht="13.8" x14ac:dyDescent="0.25">
      <c r="C25" s="848" t="s">
        <v>361</v>
      </c>
      <c r="D25" s="877"/>
      <c r="E25" s="878"/>
      <c r="F25" s="878"/>
      <c r="G25" s="878"/>
      <c r="H25" s="878"/>
      <c r="I25" s="878"/>
      <c r="J25" s="878"/>
      <c r="K25" s="878"/>
      <c r="L25" s="878"/>
      <c r="M25" s="878"/>
      <c r="N25" s="878"/>
      <c r="O25" s="878"/>
      <c r="P25" s="508"/>
      <c r="Q25" s="509"/>
    </row>
    <row r="26" spans="1:17" ht="13.8" x14ac:dyDescent="0.25">
      <c r="C26" s="491" t="s">
        <v>399</v>
      </c>
      <c r="D26" s="480"/>
      <c r="E26" s="481"/>
      <c r="F26" s="481"/>
      <c r="G26" s="481"/>
      <c r="H26" s="481"/>
      <c r="I26" s="481"/>
      <c r="J26" s="481"/>
      <c r="K26" s="481"/>
      <c r="L26" s="481"/>
      <c r="M26" s="481"/>
      <c r="N26" s="481"/>
      <c r="O26" s="482"/>
      <c r="P26" s="482"/>
      <c r="Q26" s="482"/>
    </row>
    <row r="27" spans="1:17" ht="13.8" x14ac:dyDescent="0.25">
      <c r="C27" s="491" t="s">
        <v>400</v>
      </c>
      <c r="D27" s="483"/>
      <c r="E27" s="484"/>
      <c r="F27" s="484"/>
      <c r="G27" s="484"/>
      <c r="H27" s="484"/>
      <c r="I27" s="484"/>
      <c r="J27" s="484"/>
      <c r="K27" s="484"/>
      <c r="L27" s="484"/>
      <c r="M27" s="484"/>
      <c r="N27" s="484"/>
      <c r="O27" s="485"/>
      <c r="P27" s="485"/>
      <c r="Q27" s="485"/>
    </row>
    <row r="28" spans="1:17" ht="13.8" x14ac:dyDescent="0.25">
      <c r="C28" s="528" t="s">
        <v>401</v>
      </c>
      <c r="D28" s="475">
        <v>34247600</v>
      </c>
      <c r="E28" s="475">
        <v>35111281</v>
      </c>
      <c r="F28" s="475">
        <v>39056302</v>
      </c>
      <c r="G28" s="475">
        <v>40110507</v>
      </c>
      <c r="H28" s="475">
        <v>41194505</v>
      </c>
      <c r="I28" s="475">
        <v>42308072</v>
      </c>
      <c r="J28" s="475">
        <v>43316115</v>
      </c>
      <c r="K28" s="475">
        <v>44487500</v>
      </c>
      <c r="L28" s="476">
        <v>45690841</v>
      </c>
      <c r="M28" s="475">
        <v>46924324</v>
      </c>
      <c r="N28" s="476">
        <v>48191586</v>
      </c>
      <c r="O28" s="700">
        <f t="shared" ref="O28:O33" si="0">SUM(E28:N28)</f>
        <v>426391033</v>
      </c>
      <c r="P28" s="700">
        <f t="shared" ref="P28:P33" si="1">N28-D28</f>
        <v>13943986</v>
      </c>
      <c r="Q28" s="701">
        <f t="shared" ref="Q28:Q33" si="2">(P28/D28)</f>
        <v>0.40715220920590056</v>
      </c>
    </row>
    <row r="29" spans="1:17" ht="13.8" x14ac:dyDescent="0.25">
      <c r="C29" s="528" t="s">
        <v>402</v>
      </c>
      <c r="D29" s="174">
        <v>28360500</v>
      </c>
      <c r="E29" s="174">
        <v>29513980</v>
      </c>
      <c r="F29" s="174">
        <v>30467518</v>
      </c>
      <c r="G29" s="174">
        <v>31491933</v>
      </c>
      <c r="H29" s="174">
        <v>32251885</v>
      </c>
      <c r="I29" s="174">
        <v>33036075</v>
      </c>
      <c r="J29" s="174">
        <v>33839507</v>
      </c>
      <c r="K29" s="174">
        <v>34656565</v>
      </c>
      <c r="L29" s="174">
        <v>35499697</v>
      </c>
      <c r="M29" s="174">
        <v>36357416</v>
      </c>
      <c r="N29" s="174">
        <v>37067066</v>
      </c>
      <c r="O29" s="700">
        <f t="shared" si="0"/>
        <v>334181642</v>
      </c>
      <c r="P29" s="700">
        <f t="shared" si="1"/>
        <v>8706566</v>
      </c>
      <c r="Q29" s="701">
        <f t="shared" si="2"/>
        <v>0.30699620951675743</v>
      </c>
    </row>
    <row r="30" spans="1:17" ht="13.8" x14ac:dyDescent="0.25">
      <c r="C30" s="528" t="s">
        <v>403</v>
      </c>
      <c r="D30" s="174">
        <v>643300</v>
      </c>
      <c r="E30" s="174">
        <v>697719</v>
      </c>
      <c r="F30" s="174">
        <v>740791</v>
      </c>
      <c r="G30" s="174">
        <v>907817</v>
      </c>
      <c r="H30" s="174">
        <v>1001217</v>
      </c>
      <c r="I30" s="174">
        <f>1084352</f>
        <v>1084352</v>
      </c>
      <c r="J30" s="174">
        <f>1148606</f>
        <v>1148606</v>
      </c>
      <c r="K30" s="174">
        <v>1219710</v>
      </c>
      <c r="L30" s="174">
        <f>1320426</f>
        <v>1320426</v>
      </c>
      <c r="M30" s="174">
        <v>1363316</v>
      </c>
      <c r="N30" s="174">
        <v>1396197</v>
      </c>
      <c r="O30" s="700">
        <f t="shared" si="0"/>
        <v>10880151</v>
      </c>
      <c r="P30" s="700">
        <f t="shared" si="1"/>
        <v>752897</v>
      </c>
      <c r="Q30" s="701">
        <f t="shared" si="2"/>
        <v>1.1703668583864448</v>
      </c>
    </row>
    <row r="31" spans="1:17" ht="13.8" x14ac:dyDescent="0.25">
      <c r="C31" s="528" t="s">
        <v>404</v>
      </c>
      <c r="D31" s="174">
        <v>3135500</v>
      </c>
      <c r="E31" s="174">
        <v>2742003</v>
      </c>
      <c r="F31" s="174">
        <v>2813519</v>
      </c>
      <c r="G31" s="174">
        <f>2882563</f>
        <v>2882563</v>
      </c>
      <c r="H31" s="174">
        <f>2956430</f>
        <v>2956430</v>
      </c>
      <c r="I31" s="174">
        <f>3029168</f>
        <v>3029168</v>
      </c>
      <c r="J31" s="174">
        <f>3105568</f>
        <v>3105568</v>
      </c>
      <c r="K31" s="174">
        <v>3180056</v>
      </c>
      <c r="L31" s="174">
        <f>3259447</f>
        <v>3259447</v>
      </c>
      <c r="M31" s="174">
        <v>3337680</v>
      </c>
      <c r="N31" s="174">
        <v>3358399</v>
      </c>
      <c r="O31" s="700">
        <f t="shared" si="0"/>
        <v>30664833</v>
      </c>
      <c r="P31" s="700">
        <f t="shared" si="1"/>
        <v>222899</v>
      </c>
      <c r="Q31" s="701">
        <f t="shared" si="2"/>
        <v>7.1088821559559881E-2</v>
      </c>
    </row>
    <row r="32" spans="1:17" ht="13.8" x14ac:dyDescent="0.25">
      <c r="C32" s="528" t="s">
        <v>405</v>
      </c>
      <c r="D32" s="174">
        <v>9478400</v>
      </c>
      <c r="E32" s="174">
        <v>10134194</v>
      </c>
      <c r="F32" s="174">
        <v>10085858</v>
      </c>
      <c r="G32" s="174">
        <v>10108354</v>
      </c>
      <c r="H32" s="174">
        <f>10189842</f>
        <v>10189842</v>
      </c>
      <c r="I32" s="174">
        <v>10273474</v>
      </c>
      <c r="J32" s="174">
        <v>10359304</v>
      </c>
      <c r="K32" s="174">
        <v>10447287</v>
      </c>
      <c r="L32" s="174">
        <v>10522253</v>
      </c>
      <c r="M32" s="174">
        <v>10621130</v>
      </c>
      <c r="N32" s="174">
        <v>10722493</v>
      </c>
      <c r="O32" s="700">
        <f t="shared" si="0"/>
        <v>103464189</v>
      </c>
      <c r="P32" s="700">
        <f t="shared" si="1"/>
        <v>1244093</v>
      </c>
      <c r="Q32" s="701">
        <f t="shared" si="2"/>
        <v>0.13125559166103984</v>
      </c>
    </row>
    <row r="33" spans="3:17" ht="27.6" x14ac:dyDescent="0.25">
      <c r="C33" s="528" t="s">
        <v>406</v>
      </c>
      <c r="D33" s="600">
        <v>9642100</v>
      </c>
      <c r="E33" s="600">
        <v>9054849</v>
      </c>
      <c r="F33" s="600">
        <v>9646424</v>
      </c>
      <c r="G33" s="600">
        <f>11978823</f>
        <v>11978823</v>
      </c>
      <c r="H33" s="600">
        <v>2012163</v>
      </c>
      <c r="I33" s="600">
        <v>2046359</v>
      </c>
      <c r="J33" s="600">
        <v>2081327</v>
      </c>
      <c r="K33" s="600">
        <v>2117383</v>
      </c>
      <c r="L33" s="600">
        <v>2154246</v>
      </c>
      <c r="M33" s="600">
        <v>2192231</v>
      </c>
      <c r="N33" s="600">
        <v>2229537</v>
      </c>
      <c r="O33" s="700">
        <f t="shared" si="0"/>
        <v>45513342</v>
      </c>
      <c r="P33" s="700">
        <f t="shared" si="1"/>
        <v>-7412563</v>
      </c>
      <c r="Q33" s="701">
        <f t="shared" si="2"/>
        <v>-0.76877059976561124</v>
      </c>
    </row>
    <row r="34" spans="3:17" ht="13.8" x14ac:dyDescent="0.25">
      <c r="C34" s="529" t="s">
        <v>407</v>
      </c>
      <c r="D34" s="477"/>
      <c r="E34" s="478"/>
      <c r="F34" s="478"/>
      <c r="G34" s="478"/>
      <c r="H34" s="478"/>
      <c r="I34" s="478"/>
      <c r="J34" s="478"/>
      <c r="K34" s="478"/>
      <c r="L34" s="478"/>
      <c r="M34" s="478"/>
      <c r="N34" s="478"/>
      <c r="O34" s="519"/>
      <c r="P34" s="519"/>
      <c r="Q34" s="519"/>
    </row>
    <row r="35" spans="3:17" ht="13.8" x14ac:dyDescent="0.25">
      <c r="C35" s="528" t="s">
        <v>408</v>
      </c>
      <c r="D35" s="486">
        <v>0</v>
      </c>
      <c r="E35" s="486">
        <v>0</v>
      </c>
      <c r="F35" s="486">
        <v>0</v>
      </c>
      <c r="G35" s="486">
        <v>0</v>
      </c>
      <c r="H35" s="486">
        <v>0</v>
      </c>
      <c r="I35" s="486">
        <v>0</v>
      </c>
      <c r="J35" s="486">
        <v>0</v>
      </c>
      <c r="K35" s="486">
        <v>0</v>
      </c>
      <c r="L35" s="486">
        <v>0</v>
      </c>
      <c r="M35" s="486">
        <v>0</v>
      </c>
      <c r="N35" s="486">
        <v>0</v>
      </c>
      <c r="O35" s="700">
        <f>SUM(E35:N35)</f>
        <v>0</v>
      </c>
      <c r="P35" s="700">
        <f>N35-D35</f>
        <v>0</v>
      </c>
      <c r="Q35" s="701" t="e">
        <f>(P35/D35)</f>
        <v>#DIV/0!</v>
      </c>
    </row>
    <row r="36" spans="3:17" ht="13.8" x14ac:dyDescent="0.25">
      <c r="C36" s="528" t="s">
        <v>409</v>
      </c>
      <c r="D36" s="700">
        <f t="shared" ref="D36:N36" si="3">SUM(D26:D35)</f>
        <v>85507400</v>
      </c>
      <c r="E36" s="700">
        <f t="shared" si="3"/>
        <v>87254026</v>
      </c>
      <c r="F36" s="700">
        <f t="shared" si="3"/>
        <v>92810412</v>
      </c>
      <c r="G36" s="700">
        <f t="shared" si="3"/>
        <v>97479997</v>
      </c>
      <c r="H36" s="700">
        <f t="shared" si="3"/>
        <v>89606042</v>
      </c>
      <c r="I36" s="700">
        <f t="shared" si="3"/>
        <v>91777500</v>
      </c>
      <c r="J36" s="700">
        <f t="shared" si="3"/>
        <v>93850427</v>
      </c>
      <c r="K36" s="700">
        <f t="shared" si="3"/>
        <v>96108501</v>
      </c>
      <c r="L36" s="700">
        <f t="shared" si="3"/>
        <v>98446910</v>
      </c>
      <c r="M36" s="700">
        <f t="shared" si="3"/>
        <v>100796097</v>
      </c>
      <c r="N36" s="700">
        <f t="shared" si="3"/>
        <v>102965278</v>
      </c>
      <c r="O36" s="700">
        <f>SUM(E36:N36)</f>
        <v>951095190</v>
      </c>
      <c r="P36" s="700">
        <f>N36-D36</f>
        <v>17457878</v>
      </c>
      <c r="Q36" s="701">
        <f>(P36/D36)</f>
        <v>0.20416803691844215</v>
      </c>
    </row>
    <row r="37" spans="3:17" ht="27.6" x14ac:dyDescent="0.25">
      <c r="C37" s="528" t="s">
        <v>542</v>
      </c>
      <c r="D37" s="702">
        <f t="shared" ref="D37:N37" si="4">D36-D33</f>
        <v>75865300</v>
      </c>
      <c r="E37" s="700">
        <f t="shared" si="4"/>
        <v>78199177</v>
      </c>
      <c r="F37" s="700">
        <f t="shared" si="4"/>
        <v>83163988</v>
      </c>
      <c r="G37" s="700">
        <f t="shared" si="4"/>
        <v>85501174</v>
      </c>
      <c r="H37" s="700">
        <f t="shared" si="4"/>
        <v>87593879</v>
      </c>
      <c r="I37" s="700">
        <f t="shared" si="4"/>
        <v>89731141</v>
      </c>
      <c r="J37" s="700">
        <f t="shared" si="4"/>
        <v>91769100</v>
      </c>
      <c r="K37" s="700">
        <f t="shared" si="4"/>
        <v>93991118</v>
      </c>
      <c r="L37" s="700">
        <f t="shared" si="4"/>
        <v>96292664</v>
      </c>
      <c r="M37" s="700">
        <f t="shared" si="4"/>
        <v>98603866</v>
      </c>
      <c r="N37" s="700">
        <f t="shared" si="4"/>
        <v>100735741</v>
      </c>
      <c r="O37" s="700">
        <f>SUM(E37:N37)</f>
        <v>905581848</v>
      </c>
      <c r="P37" s="700">
        <f>N37-D37</f>
        <v>24870441</v>
      </c>
      <c r="Q37" s="701">
        <f>(P37/D37)</f>
        <v>0.32782366905554977</v>
      </c>
    </row>
    <row r="38" spans="3:17" ht="13.8" x14ac:dyDescent="0.25">
      <c r="C38" s="211"/>
      <c r="D38" s="475"/>
      <c r="E38" s="475"/>
      <c r="F38" s="475"/>
      <c r="G38" s="475"/>
      <c r="H38" s="475"/>
      <c r="I38" s="475"/>
      <c r="J38" s="475"/>
      <c r="K38" s="475"/>
      <c r="L38" s="476"/>
      <c r="M38" s="475"/>
      <c r="N38" s="476"/>
      <c r="O38" s="177"/>
      <c r="P38" s="510"/>
      <c r="Q38" s="177"/>
    </row>
    <row r="39" spans="3:17" ht="13.8" x14ac:dyDescent="0.25">
      <c r="C39" s="848" t="s">
        <v>362</v>
      </c>
      <c r="D39" s="869"/>
      <c r="E39" s="869"/>
      <c r="F39" s="869"/>
      <c r="G39" s="869"/>
      <c r="H39" s="869"/>
      <c r="I39" s="869"/>
      <c r="J39" s="869"/>
      <c r="K39" s="869"/>
      <c r="L39" s="869"/>
      <c r="M39" s="869"/>
      <c r="N39" s="869"/>
      <c r="O39" s="869"/>
      <c r="P39" s="505"/>
      <c r="Q39" s="479"/>
    </row>
    <row r="40" spans="3:17" ht="13.8" x14ac:dyDescent="0.25">
      <c r="C40" s="491" t="s">
        <v>410</v>
      </c>
      <c r="D40" s="477"/>
      <c r="E40" s="478"/>
      <c r="F40" s="478"/>
      <c r="G40" s="478"/>
      <c r="H40" s="478"/>
      <c r="I40" s="478"/>
      <c r="J40" s="478"/>
      <c r="K40" s="478"/>
      <c r="L40" s="478"/>
      <c r="M40" s="478"/>
      <c r="N40" s="478"/>
      <c r="O40" s="479"/>
      <c r="P40" s="485"/>
      <c r="Q40" s="479"/>
    </row>
    <row r="41" spans="3:17" ht="13.8" x14ac:dyDescent="0.25">
      <c r="C41" s="528" t="s">
        <v>411</v>
      </c>
      <c r="D41" s="475">
        <v>30553300</v>
      </c>
      <c r="E41" s="475">
        <v>30957971</v>
      </c>
      <c r="F41" s="475">
        <v>31664025</v>
      </c>
      <c r="G41" s="475">
        <f>32374831</f>
        <v>32374831</v>
      </c>
      <c r="H41" s="475">
        <v>33172461</v>
      </c>
      <c r="I41" s="475">
        <v>33970020</v>
      </c>
      <c r="J41" s="475">
        <v>34806814</v>
      </c>
      <c r="K41" s="475">
        <v>35643750</v>
      </c>
      <c r="L41" s="475">
        <v>36515052</v>
      </c>
      <c r="M41" s="475">
        <v>37387206</v>
      </c>
      <c r="N41" s="475">
        <v>38227425</v>
      </c>
      <c r="O41" s="700">
        <f>SUM(E41:N41)</f>
        <v>344719555</v>
      </c>
      <c r="P41" s="700">
        <f t="shared" ref="P41:P49" si="5">N41-D41</f>
        <v>7674125</v>
      </c>
      <c r="Q41" s="701">
        <f>(P41/D41)</f>
        <v>0.25117172285808737</v>
      </c>
    </row>
    <row r="42" spans="3:17" ht="13.8" x14ac:dyDescent="0.25">
      <c r="C42" s="528" t="s">
        <v>544</v>
      </c>
      <c r="D42" s="174">
        <v>1778200</v>
      </c>
      <c r="E42" s="174">
        <v>1762200</v>
      </c>
      <c r="F42" s="174">
        <v>1633172</v>
      </c>
      <c r="G42" s="174">
        <v>1417019</v>
      </c>
      <c r="H42" s="174">
        <v>1211344</v>
      </c>
      <c r="I42" s="174">
        <v>997949</v>
      </c>
      <c r="J42" s="174">
        <v>807239</v>
      </c>
      <c r="K42" s="174">
        <v>635317</v>
      </c>
      <c r="L42" s="174">
        <v>491486</v>
      </c>
      <c r="M42" s="174">
        <v>376849</v>
      </c>
      <c r="N42" s="174">
        <v>370711</v>
      </c>
      <c r="O42" s="700">
        <f t="shared" ref="O42:O49" si="6">SUM(E42:N42)</f>
        <v>9703286</v>
      </c>
      <c r="P42" s="700">
        <f t="shared" si="5"/>
        <v>-1407489</v>
      </c>
      <c r="Q42" s="701">
        <f t="shared" ref="Q42:Q49" si="7">(P42/D42)</f>
        <v>-0.79152457541333932</v>
      </c>
    </row>
    <row r="43" spans="3:17" ht="13.8" x14ac:dyDescent="0.25">
      <c r="C43" s="528" t="s">
        <v>412</v>
      </c>
      <c r="D43" s="174">
        <v>23902300</v>
      </c>
      <c r="E43" s="174">
        <v>21755734</v>
      </c>
      <c r="F43" s="174">
        <f>21806418</f>
        <v>21806418</v>
      </c>
      <c r="G43" s="174">
        <f>22092121</f>
        <v>22092121</v>
      </c>
      <c r="H43" s="174">
        <v>21960330</v>
      </c>
      <c r="I43" s="174">
        <v>22466153</v>
      </c>
      <c r="J43" s="174">
        <v>23033209</v>
      </c>
      <c r="K43" s="174">
        <f>23540345</f>
        <v>23540345</v>
      </c>
      <c r="L43" s="174">
        <v>24172135</v>
      </c>
      <c r="M43" s="174">
        <v>24718412</v>
      </c>
      <c r="N43" s="174">
        <v>25249798</v>
      </c>
      <c r="O43" s="700">
        <f t="shared" si="6"/>
        <v>230794655</v>
      </c>
      <c r="P43" s="700">
        <f t="shared" si="5"/>
        <v>1347498</v>
      </c>
      <c r="Q43" s="701">
        <f t="shared" si="7"/>
        <v>5.637524422335926E-2</v>
      </c>
    </row>
    <row r="44" spans="3:17" ht="13.8" x14ac:dyDescent="0.25">
      <c r="C44" s="528" t="s">
        <v>413</v>
      </c>
      <c r="D44" s="600">
        <v>14760300</v>
      </c>
      <c r="E44" s="600">
        <v>15089519</v>
      </c>
      <c r="F44" s="600">
        <v>15455496</v>
      </c>
      <c r="G44" s="600">
        <v>15827767</v>
      </c>
      <c r="H44" s="600">
        <v>16209443</v>
      </c>
      <c r="I44" s="600">
        <v>16600558</v>
      </c>
      <c r="J44" s="600">
        <v>17001448</v>
      </c>
      <c r="K44" s="600">
        <v>17412358</v>
      </c>
      <c r="L44" s="601">
        <v>17833640</v>
      </c>
      <c r="M44" s="600">
        <v>18265421</v>
      </c>
      <c r="N44" s="601">
        <v>18707997</v>
      </c>
      <c r="O44" s="700">
        <f t="shared" si="6"/>
        <v>168403647</v>
      </c>
      <c r="P44" s="700">
        <f t="shared" si="5"/>
        <v>3947697</v>
      </c>
      <c r="Q44" s="701">
        <f t="shared" si="7"/>
        <v>0.26745371029044124</v>
      </c>
    </row>
    <row r="45" spans="3:17" ht="13.8" x14ac:dyDescent="0.25">
      <c r="C45" s="528" t="s">
        <v>414</v>
      </c>
      <c r="D45" s="602">
        <v>4888100</v>
      </c>
      <c r="E45" s="602">
        <v>4842319</v>
      </c>
      <c r="F45" s="602">
        <f>4970075</f>
        <v>4970075</v>
      </c>
      <c r="G45" s="602">
        <f>5345254</f>
        <v>5345254</v>
      </c>
      <c r="H45" s="602">
        <v>5207521</v>
      </c>
      <c r="I45" s="602">
        <v>5318151</v>
      </c>
      <c r="J45" s="602">
        <v>5462815</v>
      </c>
      <c r="K45" s="602">
        <f>5945090</f>
        <v>5945090</v>
      </c>
      <c r="L45" s="602">
        <f>5718654</f>
        <v>5718654</v>
      </c>
      <c r="M45" s="602">
        <v>5831952</v>
      </c>
      <c r="N45" s="602">
        <f>5969561-0.5</f>
        <v>5969560.5</v>
      </c>
      <c r="O45" s="700">
        <f t="shared" si="6"/>
        <v>54611391.5</v>
      </c>
      <c r="P45" s="700">
        <f t="shared" si="5"/>
        <v>1081460.5</v>
      </c>
      <c r="Q45" s="701">
        <f t="shared" si="7"/>
        <v>0.22124353020601051</v>
      </c>
    </row>
    <row r="46" spans="3:17" ht="13.8" x14ac:dyDescent="0.25">
      <c r="C46" s="528" t="s">
        <v>488</v>
      </c>
      <c r="D46" s="603">
        <v>875600</v>
      </c>
      <c r="E46" s="603">
        <v>866844</v>
      </c>
      <c r="F46" s="603">
        <f>858176</f>
        <v>858176</v>
      </c>
      <c r="G46" s="603">
        <v>849594</v>
      </c>
      <c r="H46" s="603">
        <v>841098</v>
      </c>
      <c r="I46" s="603">
        <v>832687</v>
      </c>
      <c r="J46" s="603">
        <v>824360</v>
      </c>
      <c r="K46" s="603">
        <f>816116</f>
        <v>816116</v>
      </c>
      <c r="L46" s="603">
        <v>807955</v>
      </c>
      <c r="M46" s="603">
        <v>807955</v>
      </c>
      <c r="N46" s="603">
        <v>807955</v>
      </c>
      <c r="O46" s="700">
        <f t="shared" si="6"/>
        <v>8312740</v>
      </c>
      <c r="P46" s="700">
        <f t="shared" si="5"/>
        <v>-67645</v>
      </c>
      <c r="Q46" s="701">
        <f t="shared" si="7"/>
        <v>-7.7255596162631335E-2</v>
      </c>
    </row>
    <row r="47" spans="3:17" ht="13.8" x14ac:dyDescent="0.25">
      <c r="C47" s="528" t="s">
        <v>415</v>
      </c>
      <c r="D47" s="696">
        <f t="shared" ref="D47:N47" si="8">SUM(D40:D46)</f>
        <v>76757800</v>
      </c>
      <c r="E47" s="696">
        <f t="shared" si="8"/>
        <v>75274587</v>
      </c>
      <c r="F47" s="696">
        <f t="shared" si="8"/>
        <v>76387362</v>
      </c>
      <c r="G47" s="696">
        <f t="shared" si="8"/>
        <v>77906586</v>
      </c>
      <c r="H47" s="696">
        <f t="shared" si="8"/>
        <v>78602197</v>
      </c>
      <c r="I47" s="696">
        <f t="shared" si="8"/>
        <v>80185518</v>
      </c>
      <c r="J47" s="696">
        <f t="shared" si="8"/>
        <v>81935885</v>
      </c>
      <c r="K47" s="696">
        <f t="shared" si="8"/>
        <v>83992976</v>
      </c>
      <c r="L47" s="696">
        <f t="shared" si="8"/>
        <v>85538922</v>
      </c>
      <c r="M47" s="696">
        <f t="shared" si="8"/>
        <v>87387795</v>
      </c>
      <c r="N47" s="696">
        <f t="shared" si="8"/>
        <v>89333446.5</v>
      </c>
      <c r="O47" s="700">
        <f t="shared" si="6"/>
        <v>816545274.5</v>
      </c>
      <c r="P47" s="700">
        <f t="shared" si="5"/>
        <v>12575646.5</v>
      </c>
      <c r="Q47" s="701">
        <f t="shared" si="7"/>
        <v>0.16383542128617548</v>
      </c>
    </row>
    <row r="48" spans="3:17" ht="27.6" x14ac:dyDescent="0.25">
      <c r="C48" s="528" t="s">
        <v>416</v>
      </c>
      <c r="D48" s="700">
        <f t="shared" ref="D48:N48" si="9">D36-D47</f>
        <v>8749600</v>
      </c>
      <c r="E48" s="700">
        <f t="shared" si="9"/>
        <v>11979439</v>
      </c>
      <c r="F48" s="700">
        <f t="shared" si="9"/>
        <v>16423050</v>
      </c>
      <c r="G48" s="703">
        <f t="shared" si="9"/>
        <v>19573411</v>
      </c>
      <c r="H48" s="700">
        <f t="shared" si="9"/>
        <v>11003845</v>
      </c>
      <c r="I48" s="700">
        <f t="shared" si="9"/>
        <v>11591982</v>
      </c>
      <c r="J48" s="700">
        <f t="shared" si="9"/>
        <v>11914542</v>
      </c>
      <c r="K48" s="700">
        <f t="shared" si="9"/>
        <v>12115525</v>
      </c>
      <c r="L48" s="700">
        <f t="shared" si="9"/>
        <v>12907988</v>
      </c>
      <c r="M48" s="700">
        <f t="shared" si="9"/>
        <v>13408302</v>
      </c>
      <c r="N48" s="700">
        <f t="shared" si="9"/>
        <v>13631831.5</v>
      </c>
      <c r="O48" s="700">
        <f t="shared" si="6"/>
        <v>134549915.5</v>
      </c>
      <c r="P48" s="700">
        <f t="shared" si="5"/>
        <v>4882231.5</v>
      </c>
      <c r="Q48" s="701">
        <f t="shared" si="7"/>
        <v>0.55799482262046263</v>
      </c>
    </row>
    <row r="49" spans="3:17" ht="27.6" x14ac:dyDescent="0.25">
      <c r="C49" s="528" t="s">
        <v>543</v>
      </c>
      <c r="D49" s="700">
        <f t="shared" ref="D49:N49" si="10">D37-D47</f>
        <v>-892500</v>
      </c>
      <c r="E49" s="700">
        <f t="shared" si="10"/>
        <v>2924590</v>
      </c>
      <c r="F49" s="700">
        <f t="shared" si="10"/>
        <v>6776626</v>
      </c>
      <c r="G49" s="700">
        <f t="shared" si="10"/>
        <v>7594588</v>
      </c>
      <c r="H49" s="700">
        <f t="shared" si="10"/>
        <v>8991682</v>
      </c>
      <c r="I49" s="700">
        <f t="shared" si="10"/>
        <v>9545623</v>
      </c>
      <c r="J49" s="700">
        <f t="shared" si="10"/>
        <v>9833215</v>
      </c>
      <c r="K49" s="700">
        <f t="shared" si="10"/>
        <v>9998142</v>
      </c>
      <c r="L49" s="700">
        <f t="shared" si="10"/>
        <v>10753742</v>
      </c>
      <c r="M49" s="700">
        <f t="shared" si="10"/>
        <v>11216071</v>
      </c>
      <c r="N49" s="700">
        <f t="shared" si="10"/>
        <v>11402294.5</v>
      </c>
      <c r="O49" s="700">
        <f t="shared" si="6"/>
        <v>89036573.5</v>
      </c>
      <c r="P49" s="700">
        <f t="shared" si="5"/>
        <v>12294794.5</v>
      </c>
      <c r="Q49" s="701">
        <f t="shared" si="7"/>
        <v>-13.775680112044817</v>
      </c>
    </row>
    <row r="50" spans="3:17" x14ac:dyDescent="0.2">
      <c r="C50" s="520"/>
      <c r="D50" s="520"/>
      <c r="E50" s="520"/>
      <c r="F50" s="520"/>
      <c r="G50" s="520"/>
      <c r="H50" s="520"/>
      <c r="I50" s="520"/>
      <c r="J50" s="520"/>
      <c r="K50" s="520"/>
      <c r="L50" s="520"/>
      <c r="M50" s="520"/>
      <c r="N50" s="520"/>
      <c r="O50" s="520"/>
      <c r="P50" s="520"/>
      <c r="Q50" s="521"/>
    </row>
    <row r="51" spans="3:17" ht="13.8" x14ac:dyDescent="0.25">
      <c r="C51" s="528" t="s">
        <v>418</v>
      </c>
      <c r="D51" s="546"/>
      <c r="E51" s="696">
        <f t="shared" ref="E51:N51" si="11">E28-D28</f>
        <v>863681</v>
      </c>
      <c r="F51" s="696">
        <f t="shared" si="11"/>
        <v>3945021</v>
      </c>
      <c r="G51" s="696">
        <f t="shared" si="11"/>
        <v>1054205</v>
      </c>
      <c r="H51" s="696">
        <f t="shared" si="11"/>
        <v>1083998</v>
      </c>
      <c r="I51" s="696">
        <f t="shared" si="11"/>
        <v>1113567</v>
      </c>
      <c r="J51" s="696">
        <f t="shared" si="11"/>
        <v>1008043</v>
      </c>
      <c r="K51" s="696">
        <f t="shared" si="11"/>
        <v>1171385</v>
      </c>
      <c r="L51" s="696">
        <f t="shared" si="11"/>
        <v>1203341</v>
      </c>
      <c r="M51" s="696">
        <f t="shared" si="11"/>
        <v>1233483</v>
      </c>
      <c r="N51" s="696">
        <f t="shared" si="11"/>
        <v>1267262</v>
      </c>
      <c r="O51" s="700">
        <f>SUM(E51:N51)</f>
        <v>13943986</v>
      </c>
      <c r="P51" s="546"/>
      <c r="Q51" s="546"/>
    </row>
    <row r="52" spans="3:17" ht="27.6" x14ac:dyDescent="0.25">
      <c r="C52" s="528" t="s">
        <v>456</v>
      </c>
      <c r="D52" s="546"/>
      <c r="E52" s="704">
        <f t="shared" ref="E52:N52" si="12">(E28/D28)-1</f>
        <v>2.5218730655578891E-2</v>
      </c>
      <c r="F52" s="704">
        <f t="shared" si="12"/>
        <v>0.11235764938339909</v>
      </c>
      <c r="G52" s="704">
        <f t="shared" si="12"/>
        <v>2.6991930777266138E-2</v>
      </c>
      <c r="H52" s="704">
        <f t="shared" si="12"/>
        <v>2.7025287912715745E-2</v>
      </c>
      <c r="I52" s="704">
        <f t="shared" si="12"/>
        <v>2.7031930593655717E-2</v>
      </c>
      <c r="J52" s="704">
        <f t="shared" si="12"/>
        <v>2.382625707926378E-2</v>
      </c>
      <c r="K52" s="704">
        <f t="shared" si="12"/>
        <v>2.7042706854019549E-2</v>
      </c>
      <c r="L52" s="704">
        <f t="shared" si="12"/>
        <v>2.7048968811463903E-2</v>
      </c>
      <c r="M52" s="704">
        <f t="shared" si="12"/>
        <v>2.6996285754512517E-2</v>
      </c>
      <c r="N52" s="704">
        <f t="shared" si="12"/>
        <v>2.7006505197602948E-2</v>
      </c>
      <c r="O52" s="701">
        <f>(N28/D28)-1</f>
        <v>0.40715220920590056</v>
      </c>
      <c r="P52" s="546"/>
      <c r="Q52" s="546"/>
    </row>
    <row r="53" spans="3:17" ht="12" thickBot="1" x14ac:dyDescent="0.25">
      <c r="Q53" s="511"/>
    </row>
    <row r="54" spans="3:17" ht="16.2" thickBot="1" x14ac:dyDescent="0.35">
      <c r="C54" s="38"/>
      <c r="D54" s="487"/>
      <c r="E54" s="866" t="s">
        <v>772</v>
      </c>
      <c r="F54" s="867"/>
      <c r="G54" s="867"/>
      <c r="H54" s="867"/>
      <c r="I54" s="867"/>
      <c r="J54" s="867"/>
      <c r="K54" s="867"/>
      <c r="L54" s="867"/>
      <c r="M54" s="868"/>
      <c r="N54" s="868"/>
      <c r="O54" s="868"/>
      <c r="P54" s="872" t="s">
        <v>489</v>
      </c>
      <c r="Q54" s="872" t="s">
        <v>490</v>
      </c>
    </row>
    <row r="55" spans="3:17" ht="16.8" thickTop="1" thickBot="1" x14ac:dyDescent="0.35">
      <c r="C55" s="362"/>
      <c r="D55" s="507"/>
      <c r="E55" s="879"/>
      <c r="F55" s="876"/>
      <c r="G55" s="876"/>
      <c r="H55" s="876"/>
      <c r="I55" s="876"/>
      <c r="J55" s="876"/>
      <c r="K55" s="876"/>
      <c r="L55" s="876"/>
      <c r="M55" s="876"/>
      <c r="N55" s="876"/>
      <c r="O55" s="876"/>
      <c r="P55" s="873"/>
      <c r="Q55" s="873"/>
    </row>
    <row r="56" spans="3:17" ht="12.75" customHeight="1" x14ac:dyDescent="0.25">
      <c r="C56" s="363"/>
      <c r="D56" s="503" t="s">
        <v>424</v>
      </c>
      <c r="E56" s="364" t="s">
        <v>267</v>
      </c>
      <c r="F56" s="364" t="s">
        <v>268</v>
      </c>
      <c r="G56" s="364" t="s">
        <v>269</v>
      </c>
      <c r="H56" s="364" t="s">
        <v>270</v>
      </c>
      <c r="I56" s="364" t="s">
        <v>271</v>
      </c>
      <c r="J56" s="364" t="s">
        <v>272</v>
      </c>
      <c r="K56" s="364" t="s">
        <v>273</v>
      </c>
      <c r="L56" s="364" t="s">
        <v>274</v>
      </c>
      <c r="M56" s="364" t="s">
        <v>275</v>
      </c>
      <c r="N56" s="364" t="s">
        <v>276</v>
      </c>
      <c r="O56" s="870" t="s">
        <v>277</v>
      </c>
      <c r="P56" s="873"/>
      <c r="Q56" s="873"/>
    </row>
    <row r="57" spans="3:17" ht="13.8" thickBot="1" x14ac:dyDescent="0.3">
      <c r="C57" s="366"/>
      <c r="D57" s="699" t="str">
        <f t="shared" ref="D57:N57" si="13">D24</f>
        <v>2017-18</v>
      </c>
      <c r="E57" s="699" t="str">
        <f t="shared" si="13"/>
        <v>2018-19</v>
      </c>
      <c r="F57" s="699" t="str">
        <f t="shared" si="13"/>
        <v>2019-20</v>
      </c>
      <c r="G57" s="699" t="str">
        <f t="shared" si="13"/>
        <v>2020-21</v>
      </c>
      <c r="H57" s="699" t="str">
        <f t="shared" si="13"/>
        <v>2021-22</v>
      </c>
      <c r="I57" s="699" t="str">
        <f t="shared" si="13"/>
        <v>2022-23</v>
      </c>
      <c r="J57" s="699" t="str">
        <f t="shared" si="13"/>
        <v>2023-24</v>
      </c>
      <c r="K57" s="699" t="str">
        <f t="shared" si="13"/>
        <v>2024-25</v>
      </c>
      <c r="L57" s="699" t="str">
        <f t="shared" si="13"/>
        <v>2025-26</v>
      </c>
      <c r="M57" s="699" t="str">
        <f t="shared" si="13"/>
        <v>2026-27</v>
      </c>
      <c r="N57" s="699" t="str">
        <f t="shared" si="13"/>
        <v>2027-28</v>
      </c>
      <c r="O57" s="871"/>
      <c r="P57" s="874"/>
      <c r="Q57" s="874"/>
    </row>
    <row r="58" spans="3:17" ht="13.8" x14ac:dyDescent="0.25">
      <c r="C58" s="848" t="s">
        <v>361</v>
      </c>
      <c r="D58" s="877"/>
      <c r="E58" s="878"/>
      <c r="F58" s="878"/>
      <c r="G58" s="878"/>
      <c r="H58" s="878"/>
      <c r="I58" s="878"/>
      <c r="J58" s="878"/>
      <c r="K58" s="878"/>
      <c r="L58" s="878"/>
      <c r="M58" s="878"/>
      <c r="N58" s="878"/>
      <c r="O58" s="878"/>
      <c r="P58" s="508"/>
      <c r="Q58" s="509"/>
    </row>
    <row r="59" spans="3:17" ht="13.8" x14ac:dyDescent="0.25">
      <c r="C59" s="491" t="s">
        <v>399</v>
      </c>
      <c r="D59" s="480"/>
      <c r="E59" s="481"/>
      <c r="F59" s="481"/>
      <c r="G59" s="481"/>
      <c r="H59" s="481"/>
      <c r="I59" s="481"/>
      <c r="J59" s="481"/>
      <c r="K59" s="481"/>
      <c r="L59" s="481"/>
      <c r="M59" s="481"/>
      <c r="N59" s="481"/>
      <c r="O59" s="482"/>
      <c r="P59" s="482"/>
      <c r="Q59" s="482"/>
    </row>
    <row r="60" spans="3:17" ht="13.8" x14ac:dyDescent="0.25">
      <c r="C60" s="491" t="s">
        <v>400</v>
      </c>
      <c r="D60" s="483"/>
      <c r="E60" s="484"/>
      <c r="F60" s="484"/>
      <c r="G60" s="484"/>
      <c r="H60" s="484"/>
      <c r="I60" s="484"/>
      <c r="J60" s="484"/>
      <c r="K60" s="484"/>
      <c r="L60" s="484"/>
      <c r="M60" s="484"/>
      <c r="N60" s="484"/>
      <c r="O60" s="485"/>
      <c r="P60" s="485"/>
      <c r="Q60" s="485"/>
    </row>
    <row r="61" spans="3:17" ht="13.8" x14ac:dyDescent="0.25">
      <c r="C61" s="402" t="s">
        <v>401</v>
      </c>
      <c r="D61" s="475">
        <v>34247600</v>
      </c>
      <c r="E61" s="475">
        <v>34991281</v>
      </c>
      <c r="F61" s="475">
        <v>38933002</v>
      </c>
      <c r="G61" s="475">
        <v>39983817</v>
      </c>
      <c r="H61" s="475">
        <v>41064330</v>
      </c>
      <c r="I61" s="174">
        <v>42174317</v>
      </c>
      <c r="J61" s="475">
        <v>43314482</v>
      </c>
      <c r="K61" s="475">
        <v>44485823</v>
      </c>
      <c r="L61" s="476">
        <v>45689117</v>
      </c>
      <c r="M61" s="475">
        <v>46922553</v>
      </c>
      <c r="N61" s="476">
        <v>48189766</v>
      </c>
      <c r="O61" s="700">
        <f t="shared" ref="O61:O66" si="14">SUM(E61:N61)</f>
        <v>425748488</v>
      </c>
      <c r="P61" s="700">
        <f t="shared" ref="P61:P66" si="15">N61-D61</f>
        <v>13942166</v>
      </c>
      <c r="Q61" s="701">
        <f t="shared" ref="Q61:Q66" si="16">P61/D61</f>
        <v>0.40709906679592145</v>
      </c>
    </row>
    <row r="62" spans="3:17" ht="13.8" x14ac:dyDescent="0.25">
      <c r="C62" s="402" t="s">
        <v>402</v>
      </c>
      <c r="D62" s="174">
        <v>28360500</v>
      </c>
      <c r="E62" s="174">
        <v>29513980</v>
      </c>
      <c r="F62" s="174">
        <v>30467518</v>
      </c>
      <c r="G62" s="174">
        <v>31491933</v>
      </c>
      <c r="H62" s="174">
        <v>32251885</v>
      </c>
      <c r="I62" s="174">
        <v>33036075</v>
      </c>
      <c r="J62" s="174">
        <v>33839507</v>
      </c>
      <c r="K62" s="174">
        <f>34656565</f>
        <v>34656565</v>
      </c>
      <c r="L62" s="174">
        <v>35499697</v>
      </c>
      <c r="M62" s="174">
        <v>36357416</v>
      </c>
      <c r="N62" s="174">
        <v>37067066</v>
      </c>
      <c r="O62" s="700">
        <f t="shared" si="14"/>
        <v>334181642</v>
      </c>
      <c r="P62" s="700">
        <f t="shared" si="15"/>
        <v>8706566</v>
      </c>
      <c r="Q62" s="701">
        <f t="shared" si="16"/>
        <v>0.30699620951675743</v>
      </c>
    </row>
    <row r="63" spans="3:17" ht="13.8" x14ac:dyDescent="0.25">
      <c r="C63" s="402" t="s">
        <v>403</v>
      </c>
      <c r="D63" s="174">
        <v>643300</v>
      </c>
      <c r="E63" s="174">
        <v>697719</v>
      </c>
      <c r="F63" s="174">
        <f>740791</f>
        <v>740791</v>
      </c>
      <c r="G63" s="174">
        <f>907817</f>
        <v>907817</v>
      </c>
      <c r="H63" s="174">
        <f>1001217</f>
        <v>1001217</v>
      </c>
      <c r="I63" s="174">
        <v>1084352</v>
      </c>
      <c r="J63" s="174">
        <f>1148606</f>
        <v>1148606</v>
      </c>
      <c r="K63" s="174">
        <f>1219710</f>
        <v>1219710</v>
      </c>
      <c r="L63" s="174">
        <f>1320426</f>
        <v>1320426</v>
      </c>
      <c r="M63" s="174">
        <v>1363316</v>
      </c>
      <c r="N63" s="174">
        <v>1396197</v>
      </c>
      <c r="O63" s="700">
        <f t="shared" si="14"/>
        <v>10880151</v>
      </c>
      <c r="P63" s="700">
        <f t="shared" si="15"/>
        <v>752897</v>
      </c>
      <c r="Q63" s="701">
        <f t="shared" si="16"/>
        <v>1.1703668583864448</v>
      </c>
    </row>
    <row r="64" spans="3:17" ht="13.8" x14ac:dyDescent="0.25">
      <c r="C64" s="402" t="s">
        <v>404</v>
      </c>
      <c r="D64" s="174">
        <v>3135500</v>
      </c>
      <c r="E64" s="174">
        <v>2742003</v>
      </c>
      <c r="F64" s="174">
        <f>2813519</f>
        <v>2813519</v>
      </c>
      <c r="G64" s="174">
        <f>2882563</f>
        <v>2882563</v>
      </c>
      <c r="H64" s="174">
        <f>2956430</f>
        <v>2956430</v>
      </c>
      <c r="I64" s="174">
        <v>3029168</v>
      </c>
      <c r="J64" s="174">
        <f>3105568</f>
        <v>3105568</v>
      </c>
      <c r="K64" s="174">
        <f>3180056</f>
        <v>3180056</v>
      </c>
      <c r="L64" s="174">
        <f>3259447</f>
        <v>3259447</v>
      </c>
      <c r="M64" s="174">
        <v>3337680</v>
      </c>
      <c r="N64" s="174">
        <v>3358399</v>
      </c>
      <c r="O64" s="700">
        <f t="shared" si="14"/>
        <v>30664833</v>
      </c>
      <c r="P64" s="700">
        <f t="shared" si="15"/>
        <v>222899</v>
      </c>
      <c r="Q64" s="701">
        <f t="shared" si="16"/>
        <v>7.1088821559559881E-2</v>
      </c>
    </row>
    <row r="65" spans="3:17" ht="13.8" x14ac:dyDescent="0.25">
      <c r="C65" s="402" t="s">
        <v>405</v>
      </c>
      <c r="D65" s="174">
        <v>9478400</v>
      </c>
      <c r="E65" s="174">
        <f>10134194</f>
        <v>10134194</v>
      </c>
      <c r="F65" s="174">
        <f>10085858</f>
        <v>10085858</v>
      </c>
      <c r="G65" s="174">
        <v>10108354</v>
      </c>
      <c r="H65" s="174">
        <v>10189842</v>
      </c>
      <c r="I65" s="174">
        <v>10273474</v>
      </c>
      <c r="J65" s="174">
        <v>10359304</v>
      </c>
      <c r="K65" s="174">
        <v>10447287</v>
      </c>
      <c r="L65" s="174">
        <v>10522253</v>
      </c>
      <c r="M65" s="174">
        <v>10621130</v>
      </c>
      <c r="N65" s="174">
        <v>10722493</v>
      </c>
      <c r="O65" s="700">
        <f t="shared" si="14"/>
        <v>103464189</v>
      </c>
      <c r="P65" s="700">
        <f t="shared" si="15"/>
        <v>1244093</v>
      </c>
      <c r="Q65" s="701">
        <f t="shared" si="16"/>
        <v>0.13125559166103984</v>
      </c>
    </row>
    <row r="66" spans="3:17" ht="27.6" x14ac:dyDescent="0.25">
      <c r="C66" s="402" t="s">
        <v>406</v>
      </c>
      <c r="D66" s="600">
        <v>9642100</v>
      </c>
      <c r="E66" s="600">
        <f>9054849</f>
        <v>9054849</v>
      </c>
      <c r="F66" s="600">
        <v>9646424</v>
      </c>
      <c r="G66" s="600">
        <v>11978823</v>
      </c>
      <c r="H66" s="600">
        <v>2012163</v>
      </c>
      <c r="I66" s="600">
        <v>2046359</v>
      </c>
      <c r="J66" s="600">
        <v>2081327</v>
      </c>
      <c r="K66" s="600">
        <f>2117383</f>
        <v>2117383</v>
      </c>
      <c r="L66" s="600">
        <v>2154246</v>
      </c>
      <c r="M66" s="600">
        <v>2192231</v>
      </c>
      <c r="N66" s="600">
        <v>2229537</v>
      </c>
      <c r="O66" s="700">
        <f t="shared" si="14"/>
        <v>45513342</v>
      </c>
      <c r="P66" s="700">
        <f t="shared" si="15"/>
        <v>-7412563</v>
      </c>
      <c r="Q66" s="701">
        <f t="shared" si="16"/>
        <v>-0.76877059976561124</v>
      </c>
    </row>
    <row r="67" spans="3:17" ht="13.8" x14ac:dyDescent="0.25">
      <c r="C67" s="705" t="str">
        <f>C34</f>
        <v>Other Income:</v>
      </c>
      <c r="D67" s="477"/>
      <c r="E67" s="478"/>
      <c r="F67" s="478"/>
      <c r="G67" s="478"/>
      <c r="H67" s="478"/>
      <c r="I67" s="478"/>
      <c r="J67" s="478"/>
      <c r="K67" s="478"/>
      <c r="L67" s="478"/>
      <c r="M67" s="478"/>
      <c r="N67" s="478"/>
      <c r="O67" s="519"/>
      <c r="P67" s="519"/>
      <c r="Q67" s="523"/>
    </row>
    <row r="68" spans="3:17" ht="13.8" x14ac:dyDescent="0.25">
      <c r="C68" s="402" t="s">
        <v>408</v>
      </c>
      <c r="D68" s="475"/>
      <c r="E68" s="475"/>
      <c r="F68" s="475"/>
      <c r="G68" s="475"/>
      <c r="H68" s="475"/>
      <c r="I68" s="475"/>
      <c r="J68" s="475"/>
      <c r="K68" s="475"/>
      <c r="L68" s="475"/>
      <c r="M68" s="475"/>
      <c r="N68" s="475"/>
      <c r="O68" s="700">
        <f>SUM(E68:N68)</f>
        <v>0</v>
      </c>
      <c r="P68" s="700">
        <f>N68-D68</f>
        <v>0</v>
      </c>
      <c r="Q68" s="701" t="e">
        <f>P68/D68</f>
        <v>#DIV/0!</v>
      </c>
    </row>
    <row r="69" spans="3:17" ht="13.8" x14ac:dyDescent="0.25">
      <c r="C69" s="402" t="s">
        <v>409</v>
      </c>
      <c r="D69" s="696">
        <f t="shared" ref="D69:N69" si="17">SUM(D59:D68)</f>
        <v>85507400</v>
      </c>
      <c r="E69" s="696">
        <f t="shared" si="17"/>
        <v>87134026</v>
      </c>
      <c r="F69" s="696">
        <f t="shared" si="17"/>
        <v>92687112</v>
      </c>
      <c r="G69" s="696">
        <f t="shared" si="17"/>
        <v>97353307</v>
      </c>
      <c r="H69" s="696">
        <f t="shared" si="17"/>
        <v>89475867</v>
      </c>
      <c r="I69" s="696">
        <f t="shared" si="17"/>
        <v>91643745</v>
      </c>
      <c r="J69" s="696">
        <f t="shared" si="17"/>
        <v>93848794</v>
      </c>
      <c r="K69" s="696">
        <f t="shared" si="17"/>
        <v>96106824</v>
      </c>
      <c r="L69" s="696">
        <f t="shared" si="17"/>
        <v>98445186</v>
      </c>
      <c r="M69" s="696">
        <f t="shared" si="17"/>
        <v>100794326</v>
      </c>
      <c r="N69" s="696">
        <f t="shared" si="17"/>
        <v>102963458</v>
      </c>
      <c r="O69" s="700">
        <f>SUM(E69:N69)</f>
        <v>950452645</v>
      </c>
      <c r="P69" s="700">
        <f>N69-D69</f>
        <v>17456058</v>
      </c>
      <c r="Q69" s="701">
        <f>P69/D69</f>
        <v>0.20414675221091977</v>
      </c>
    </row>
    <row r="70" spans="3:17" ht="27.6" x14ac:dyDescent="0.25">
      <c r="C70" s="402" t="s">
        <v>542</v>
      </c>
      <c r="D70" s="696">
        <f t="shared" ref="D70:N70" si="18">D69-D66</f>
        <v>75865300</v>
      </c>
      <c r="E70" s="696">
        <f t="shared" si="18"/>
        <v>78079177</v>
      </c>
      <c r="F70" s="696">
        <f t="shared" si="18"/>
        <v>83040688</v>
      </c>
      <c r="G70" s="696">
        <f t="shared" si="18"/>
        <v>85374484</v>
      </c>
      <c r="H70" s="696">
        <f t="shared" si="18"/>
        <v>87463704</v>
      </c>
      <c r="I70" s="696">
        <f t="shared" si="18"/>
        <v>89597386</v>
      </c>
      <c r="J70" s="696">
        <f t="shared" si="18"/>
        <v>91767467</v>
      </c>
      <c r="K70" s="696">
        <f t="shared" si="18"/>
        <v>93989441</v>
      </c>
      <c r="L70" s="696">
        <f t="shared" si="18"/>
        <v>96290940</v>
      </c>
      <c r="M70" s="696">
        <f t="shared" si="18"/>
        <v>98602095</v>
      </c>
      <c r="N70" s="696">
        <f t="shared" si="18"/>
        <v>100733921</v>
      </c>
      <c r="O70" s="700">
        <f>SUM(E70:N70)</f>
        <v>904939303</v>
      </c>
      <c r="P70" s="700">
        <f>N70-D70</f>
        <v>24868621</v>
      </c>
      <c r="Q70" s="701">
        <f>P70/D70</f>
        <v>0.32779967916820996</v>
      </c>
    </row>
    <row r="71" spans="3:17" ht="13.8" x14ac:dyDescent="0.25">
      <c r="C71" s="211"/>
      <c r="D71" s="174"/>
      <c r="E71" s="174"/>
      <c r="F71" s="174"/>
      <c r="G71" s="174"/>
      <c r="H71" s="174"/>
      <c r="I71" s="174"/>
      <c r="J71" s="174"/>
      <c r="K71" s="174"/>
      <c r="L71" s="400"/>
      <c r="M71" s="174"/>
      <c r="N71" s="400"/>
      <c r="O71" s="311"/>
      <c r="P71" s="311"/>
      <c r="Q71" s="311"/>
    </row>
    <row r="72" spans="3:17" ht="13.8" x14ac:dyDescent="0.25">
      <c r="C72" s="848" t="s">
        <v>362</v>
      </c>
      <c r="D72" s="877"/>
      <c r="E72" s="878"/>
      <c r="F72" s="878"/>
      <c r="G72" s="878"/>
      <c r="H72" s="878"/>
      <c r="I72" s="878"/>
      <c r="J72" s="878"/>
      <c r="K72" s="878"/>
      <c r="L72" s="878"/>
      <c r="M72" s="878"/>
      <c r="N72" s="878"/>
      <c r="O72" s="878"/>
      <c r="P72" s="505"/>
      <c r="Q72" s="479"/>
    </row>
    <row r="73" spans="3:17" ht="13.8" x14ac:dyDescent="0.25">
      <c r="C73" s="491" t="s">
        <v>410</v>
      </c>
      <c r="D73" s="477"/>
      <c r="E73" s="478"/>
      <c r="F73" s="478"/>
      <c r="G73" s="478"/>
      <c r="H73" s="478"/>
      <c r="I73" s="478"/>
      <c r="J73" s="478"/>
      <c r="K73" s="478"/>
      <c r="L73" s="478"/>
      <c r="M73" s="478"/>
      <c r="N73" s="478"/>
      <c r="O73" s="479"/>
      <c r="P73" s="479"/>
      <c r="Q73" s="479"/>
    </row>
    <row r="74" spans="3:17" ht="13.8" x14ac:dyDescent="0.25">
      <c r="C74" s="528" t="s">
        <v>411</v>
      </c>
      <c r="D74" s="475">
        <v>30553300</v>
      </c>
      <c r="E74" s="475">
        <v>30957971</v>
      </c>
      <c r="F74" s="475">
        <f>31664025</f>
        <v>31664025</v>
      </c>
      <c r="G74" s="475">
        <v>32374831</v>
      </c>
      <c r="H74" s="475">
        <v>33172461</v>
      </c>
      <c r="I74" s="475">
        <v>33970020</v>
      </c>
      <c r="J74" s="475">
        <v>34806814</v>
      </c>
      <c r="K74" s="475">
        <v>35643750</v>
      </c>
      <c r="L74" s="475">
        <f>36515052</f>
        <v>36515052</v>
      </c>
      <c r="M74" s="475">
        <v>37387206</v>
      </c>
      <c r="N74" s="475">
        <v>38227425</v>
      </c>
      <c r="O74" s="700">
        <f>SUM(E74:N74)</f>
        <v>344719555</v>
      </c>
      <c r="P74" s="700">
        <f t="shared" ref="P74:P82" si="19">N74-D74</f>
        <v>7674125</v>
      </c>
      <c r="Q74" s="701">
        <f>P74/D74</f>
        <v>0.25117172285808737</v>
      </c>
    </row>
    <row r="75" spans="3:17" ht="13.8" x14ac:dyDescent="0.25">
      <c r="C75" s="528" t="s">
        <v>544</v>
      </c>
      <c r="D75" s="174">
        <v>1778200</v>
      </c>
      <c r="E75" s="174">
        <v>1762200</v>
      </c>
      <c r="F75" s="174">
        <f>1633172</f>
        <v>1633172</v>
      </c>
      <c r="G75" s="174">
        <v>1417019</v>
      </c>
      <c r="H75" s="174">
        <v>1211344</v>
      </c>
      <c r="I75" s="174">
        <f>997949</f>
        <v>997949</v>
      </c>
      <c r="J75" s="174">
        <v>807239</v>
      </c>
      <c r="K75" s="174">
        <v>635317</v>
      </c>
      <c r="L75" s="174">
        <v>491486</v>
      </c>
      <c r="M75" s="174">
        <v>376849</v>
      </c>
      <c r="N75" s="174">
        <v>370711</v>
      </c>
      <c r="O75" s="700">
        <f t="shared" ref="O75:O82" si="20">SUM(E75:N75)</f>
        <v>9703286</v>
      </c>
      <c r="P75" s="700">
        <f t="shared" si="19"/>
        <v>-1407489</v>
      </c>
      <c r="Q75" s="701">
        <f t="shared" ref="Q75:Q82" si="21">P75/D75</f>
        <v>-0.79152457541333932</v>
      </c>
    </row>
    <row r="76" spans="3:17" ht="13.8" x14ac:dyDescent="0.25">
      <c r="C76" s="528" t="s">
        <v>412</v>
      </c>
      <c r="D76" s="174">
        <v>23902300</v>
      </c>
      <c r="E76" s="174">
        <v>21635734</v>
      </c>
      <c r="F76" s="174">
        <f>21683418</f>
        <v>21683418</v>
      </c>
      <c r="G76" s="174">
        <v>21966046</v>
      </c>
      <c r="H76" s="174">
        <v>21831103</v>
      </c>
      <c r="I76" s="174">
        <f>22333696</f>
        <v>22333696</v>
      </c>
      <c r="J76" s="174">
        <v>23033240</v>
      </c>
      <c r="K76" s="174">
        <f>23540376</f>
        <v>23540376</v>
      </c>
      <c r="L76" s="174">
        <f>24172167</f>
        <v>24172167</v>
      </c>
      <c r="M76" s="174">
        <v>24718445</v>
      </c>
      <c r="N76" s="174">
        <v>25249832</v>
      </c>
      <c r="O76" s="700">
        <f t="shared" si="20"/>
        <v>230164057</v>
      </c>
      <c r="P76" s="700">
        <f t="shared" si="19"/>
        <v>1347532</v>
      </c>
      <c r="Q76" s="701">
        <f t="shared" si="21"/>
        <v>5.6376666680612329E-2</v>
      </c>
    </row>
    <row r="77" spans="3:17" ht="13.8" x14ac:dyDescent="0.25">
      <c r="C77" s="528" t="s">
        <v>413</v>
      </c>
      <c r="D77" s="600">
        <v>14760300</v>
      </c>
      <c r="E77" s="174">
        <v>15089519</v>
      </c>
      <c r="F77" s="174">
        <f>15455496</f>
        <v>15455496</v>
      </c>
      <c r="G77" s="174">
        <f>15827767</f>
        <v>15827767</v>
      </c>
      <c r="H77" s="174">
        <v>16209443</v>
      </c>
      <c r="I77" s="174">
        <v>16600558</v>
      </c>
      <c r="J77" s="174">
        <v>17001448</v>
      </c>
      <c r="K77" s="174">
        <v>17412358</v>
      </c>
      <c r="L77" s="400">
        <v>17833640</v>
      </c>
      <c r="M77" s="174">
        <v>18265421</v>
      </c>
      <c r="N77" s="400">
        <v>18707997</v>
      </c>
      <c r="O77" s="700">
        <f t="shared" si="20"/>
        <v>168403647</v>
      </c>
      <c r="P77" s="700">
        <f t="shared" si="19"/>
        <v>3947697</v>
      </c>
      <c r="Q77" s="701">
        <f t="shared" si="21"/>
        <v>0.26745371029044124</v>
      </c>
    </row>
    <row r="78" spans="3:17" ht="13.8" x14ac:dyDescent="0.25">
      <c r="C78" s="528" t="s">
        <v>414</v>
      </c>
      <c r="D78" s="604">
        <v>4888100</v>
      </c>
      <c r="E78" s="174">
        <v>4842319</v>
      </c>
      <c r="F78" s="174">
        <f>4970075</f>
        <v>4970075</v>
      </c>
      <c r="G78" s="174">
        <f>5345254</f>
        <v>5345254</v>
      </c>
      <c r="H78" s="174">
        <f>5207521</f>
        <v>5207521</v>
      </c>
      <c r="I78" s="174">
        <f>5318151</f>
        <v>5318151</v>
      </c>
      <c r="J78" s="174">
        <v>5462815</v>
      </c>
      <c r="K78" s="174">
        <f>5945090</f>
        <v>5945090</v>
      </c>
      <c r="L78" s="400">
        <f>5718654</f>
        <v>5718654</v>
      </c>
      <c r="M78" s="174">
        <v>5831952</v>
      </c>
      <c r="N78" s="400">
        <f>5969561-0.5</f>
        <v>5969560.5</v>
      </c>
      <c r="O78" s="700">
        <f t="shared" si="20"/>
        <v>54611391.5</v>
      </c>
      <c r="P78" s="700">
        <f t="shared" si="19"/>
        <v>1081460.5</v>
      </c>
      <c r="Q78" s="701">
        <f t="shared" si="21"/>
        <v>0.22124353020601051</v>
      </c>
    </row>
    <row r="79" spans="3:17" ht="13.8" x14ac:dyDescent="0.25">
      <c r="C79" s="528" t="s">
        <v>488</v>
      </c>
      <c r="D79" s="605">
        <v>875600</v>
      </c>
      <c r="E79" s="400">
        <v>866844</v>
      </c>
      <c r="F79" s="400">
        <f>858176</f>
        <v>858176</v>
      </c>
      <c r="G79" s="400">
        <v>849594</v>
      </c>
      <c r="H79" s="400">
        <v>841098</v>
      </c>
      <c r="I79" s="400">
        <v>832687</v>
      </c>
      <c r="J79" s="400">
        <v>824360</v>
      </c>
      <c r="K79" s="400">
        <v>816116</v>
      </c>
      <c r="L79" s="400">
        <v>807955</v>
      </c>
      <c r="M79" s="400">
        <v>807955</v>
      </c>
      <c r="N79" s="400">
        <v>807955</v>
      </c>
      <c r="O79" s="700">
        <f t="shared" si="20"/>
        <v>8312740</v>
      </c>
      <c r="P79" s="700">
        <f t="shared" si="19"/>
        <v>-67645</v>
      </c>
      <c r="Q79" s="701">
        <f t="shared" si="21"/>
        <v>-7.7255596162631335E-2</v>
      </c>
    </row>
    <row r="80" spans="3:17" ht="13.8" x14ac:dyDescent="0.25">
      <c r="C80" s="528" t="s">
        <v>415</v>
      </c>
      <c r="D80" s="696">
        <f t="shared" ref="D80:N80" si="22">SUM(D73:D79)</f>
        <v>76757800</v>
      </c>
      <c r="E80" s="696">
        <f t="shared" si="22"/>
        <v>75154587</v>
      </c>
      <c r="F80" s="696">
        <f t="shared" si="22"/>
        <v>76264362</v>
      </c>
      <c r="G80" s="696">
        <f t="shared" si="22"/>
        <v>77780511</v>
      </c>
      <c r="H80" s="696">
        <f t="shared" si="22"/>
        <v>78472970</v>
      </c>
      <c r="I80" s="696">
        <f t="shared" si="22"/>
        <v>80053061</v>
      </c>
      <c r="J80" s="696">
        <f t="shared" si="22"/>
        <v>81935916</v>
      </c>
      <c r="K80" s="696">
        <f t="shared" si="22"/>
        <v>83993007</v>
      </c>
      <c r="L80" s="696">
        <f t="shared" si="22"/>
        <v>85538954</v>
      </c>
      <c r="M80" s="696">
        <f t="shared" si="22"/>
        <v>87387828</v>
      </c>
      <c r="N80" s="696">
        <f t="shared" si="22"/>
        <v>89333480.5</v>
      </c>
      <c r="O80" s="700">
        <f t="shared" si="20"/>
        <v>815914676.5</v>
      </c>
      <c r="P80" s="700">
        <f>N80-D80</f>
        <v>12575680.5</v>
      </c>
      <c r="Q80" s="701">
        <f t="shared" si="21"/>
        <v>0.16383586423790156</v>
      </c>
    </row>
    <row r="81" spans="3:17" ht="27.6" x14ac:dyDescent="0.25">
      <c r="C81" s="528" t="s">
        <v>416</v>
      </c>
      <c r="D81" s="696">
        <f t="shared" ref="D81:N81" si="23">D69-D80</f>
        <v>8749600</v>
      </c>
      <c r="E81" s="696">
        <f t="shared" si="23"/>
        <v>11979439</v>
      </c>
      <c r="F81" s="696">
        <f t="shared" si="23"/>
        <v>16422750</v>
      </c>
      <c r="G81" s="696">
        <f t="shared" si="23"/>
        <v>19572796</v>
      </c>
      <c r="H81" s="696">
        <f t="shared" si="23"/>
        <v>11002897</v>
      </c>
      <c r="I81" s="696">
        <f t="shared" si="23"/>
        <v>11590684</v>
      </c>
      <c r="J81" s="696">
        <f t="shared" si="23"/>
        <v>11912878</v>
      </c>
      <c r="K81" s="696">
        <f t="shared" si="23"/>
        <v>12113817</v>
      </c>
      <c r="L81" s="696">
        <f t="shared" si="23"/>
        <v>12906232</v>
      </c>
      <c r="M81" s="696">
        <f t="shared" si="23"/>
        <v>13406498</v>
      </c>
      <c r="N81" s="696">
        <f t="shared" si="23"/>
        <v>13629977.5</v>
      </c>
      <c r="O81" s="700">
        <f t="shared" si="20"/>
        <v>134537968.5</v>
      </c>
      <c r="P81" s="700">
        <f t="shared" si="19"/>
        <v>4880377.5</v>
      </c>
      <c r="Q81" s="701">
        <f t="shared" si="21"/>
        <v>0.55778292721953004</v>
      </c>
    </row>
    <row r="82" spans="3:17" ht="27.6" x14ac:dyDescent="0.25">
      <c r="C82" s="528" t="s">
        <v>543</v>
      </c>
      <c r="D82" s="696">
        <f t="shared" ref="D82:N82" si="24">D70-D80</f>
        <v>-892500</v>
      </c>
      <c r="E82" s="696">
        <f t="shared" si="24"/>
        <v>2924590</v>
      </c>
      <c r="F82" s="696">
        <f t="shared" si="24"/>
        <v>6776326</v>
      </c>
      <c r="G82" s="696">
        <f t="shared" si="24"/>
        <v>7593973</v>
      </c>
      <c r="H82" s="696">
        <f t="shared" si="24"/>
        <v>8990734</v>
      </c>
      <c r="I82" s="696">
        <f t="shared" si="24"/>
        <v>9544325</v>
      </c>
      <c r="J82" s="696">
        <f t="shared" si="24"/>
        <v>9831551</v>
      </c>
      <c r="K82" s="696">
        <f t="shared" si="24"/>
        <v>9996434</v>
      </c>
      <c r="L82" s="696">
        <f t="shared" si="24"/>
        <v>10751986</v>
      </c>
      <c r="M82" s="696">
        <f t="shared" si="24"/>
        <v>11214267</v>
      </c>
      <c r="N82" s="696">
        <f t="shared" si="24"/>
        <v>11400440.5</v>
      </c>
      <c r="O82" s="700">
        <f t="shared" si="20"/>
        <v>89024626.5</v>
      </c>
      <c r="P82" s="700">
        <f t="shared" si="19"/>
        <v>12292940.5</v>
      </c>
      <c r="Q82" s="701">
        <f t="shared" si="21"/>
        <v>-13.773602801120449</v>
      </c>
    </row>
    <row r="83" spans="3:17" ht="13.8" x14ac:dyDescent="0.25">
      <c r="C83" s="530"/>
      <c r="D83" s="174"/>
      <c r="E83" s="174"/>
      <c r="F83" s="174"/>
      <c r="G83" s="174"/>
      <c r="H83" s="174"/>
      <c r="I83" s="174"/>
      <c r="J83" s="174"/>
      <c r="K83" s="174"/>
      <c r="L83" s="174"/>
      <c r="M83" s="174"/>
      <c r="N83" s="174"/>
      <c r="O83" s="400"/>
      <c r="P83" s="400"/>
      <c r="Q83" s="174"/>
    </row>
    <row r="84" spans="3:17" ht="13.8" x14ac:dyDescent="0.25">
      <c r="C84" s="528" t="s">
        <v>418</v>
      </c>
      <c r="D84" s="546"/>
      <c r="E84" s="696">
        <f t="shared" ref="E84:N84" si="25">E61-D61</f>
        <v>743681</v>
      </c>
      <c r="F84" s="696">
        <f t="shared" si="25"/>
        <v>3941721</v>
      </c>
      <c r="G84" s="696">
        <f t="shared" si="25"/>
        <v>1050815</v>
      </c>
      <c r="H84" s="696">
        <f t="shared" si="25"/>
        <v>1080513</v>
      </c>
      <c r="I84" s="696">
        <f t="shared" si="25"/>
        <v>1109987</v>
      </c>
      <c r="J84" s="696">
        <f t="shared" si="25"/>
        <v>1140165</v>
      </c>
      <c r="K84" s="696">
        <f t="shared" si="25"/>
        <v>1171341</v>
      </c>
      <c r="L84" s="696">
        <f t="shared" si="25"/>
        <v>1203294</v>
      </c>
      <c r="M84" s="696">
        <f t="shared" si="25"/>
        <v>1233436</v>
      </c>
      <c r="N84" s="696">
        <f t="shared" si="25"/>
        <v>1267213</v>
      </c>
      <c r="O84" s="696">
        <f>N61-D61</f>
        <v>13942166</v>
      </c>
      <c r="P84" s="546"/>
      <c r="Q84" s="546"/>
    </row>
    <row r="85" spans="3:17" ht="27.6" x14ac:dyDescent="0.25">
      <c r="C85" s="528" t="s">
        <v>456</v>
      </c>
      <c r="D85" s="546"/>
      <c r="E85" s="704">
        <f t="shared" ref="E85:N85" si="26">(E61/D61)-1</f>
        <v>2.1714835492122164E-2</v>
      </c>
      <c r="F85" s="704">
        <f t="shared" si="26"/>
        <v>0.1126486623910683</v>
      </c>
      <c r="G85" s="704">
        <f t="shared" si="26"/>
        <v>2.6990340996566387E-2</v>
      </c>
      <c r="H85" s="704">
        <f t="shared" si="26"/>
        <v>2.702375813694835E-2</v>
      </c>
      <c r="I85" s="704">
        <f t="shared" si="26"/>
        <v>2.7030442235390195E-2</v>
      </c>
      <c r="J85" s="704">
        <f t="shared" si="26"/>
        <v>2.703458125949032E-2</v>
      </c>
      <c r="K85" s="704">
        <f t="shared" si="26"/>
        <v>2.7042710565025274E-2</v>
      </c>
      <c r="L85" s="704">
        <f t="shared" si="26"/>
        <v>2.7048931970978796E-2</v>
      </c>
      <c r="M85" s="704">
        <f t="shared" si="26"/>
        <v>2.6996275721415275E-2</v>
      </c>
      <c r="N85" s="704">
        <f t="shared" si="26"/>
        <v>2.7006480231371865E-2</v>
      </c>
      <c r="O85" s="701">
        <f>(N61/D61)-1</f>
        <v>0.40709906679592156</v>
      </c>
      <c r="P85" s="546"/>
      <c r="Q85" s="546"/>
    </row>
    <row r="86" spans="3:17" ht="12" thickBot="1" x14ac:dyDescent="0.25"/>
    <row r="87" spans="3:17" ht="16.2" thickBot="1" x14ac:dyDescent="0.35">
      <c r="C87" s="38"/>
      <c r="D87" s="487"/>
      <c r="E87" s="866" t="s">
        <v>773</v>
      </c>
      <c r="F87" s="867"/>
      <c r="G87" s="867"/>
      <c r="H87" s="867"/>
      <c r="I87" s="867"/>
      <c r="J87" s="867"/>
      <c r="K87" s="867"/>
      <c r="L87" s="867"/>
      <c r="M87" s="868"/>
      <c r="N87" s="868"/>
      <c r="O87" s="868"/>
      <c r="P87" s="872" t="s">
        <v>489</v>
      </c>
      <c r="Q87" s="872" t="s">
        <v>490</v>
      </c>
    </row>
    <row r="88" spans="3:17" ht="16.8" thickTop="1" thickBot="1" x14ac:dyDescent="0.35">
      <c r="C88" s="362"/>
      <c r="D88" s="507"/>
      <c r="E88" s="879"/>
      <c r="F88" s="876"/>
      <c r="G88" s="876"/>
      <c r="H88" s="876"/>
      <c r="I88" s="876"/>
      <c r="J88" s="876"/>
      <c r="K88" s="876"/>
      <c r="L88" s="876"/>
      <c r="M88" s="876"/>
      <c r="N88" s="876"/>
      <c r="O88" s="876"/>
      <c r="P88" s="873"/>
      <c r="Q88" s="873"/>
    </row>
    <row r="89" spans="3:17" ht="13.2" x14ac:dyDescent="0.25">
      <c r="C89" s="363"/>
      <c r="D89" s="503" t="s">
        <v>424</v>
      </c>
      <c r="E89" s="364" t="s">
        <v>267</v>
      </c>
      <c r="F89" s="364" t="s">
        <v>268</v>
      </c>
      <c r="G89" s="364" t="s">
        <v>269</v>
      </c>
      <c r="H89" s="364" t="s">
        <v>270</v>
      </c>
      <c r="I89" s="364" t="s">
        <v>271</v>
      </c>
      <c r="J89" s="364" t="s">
        <v>272</v>
      </c>
      <c r="K89" s="364" t="s">
        <v>273</v>
      </c>
      <c r="L89" s="364" t="s">
        <v>274</v>
      </c>
      <c r="M89" s="364" t="s">
        <v>275</v>
      </c>
      <c r="N89" s="364" t="s">
        <v>276</v>
      </c>
      <c r="O89" s="870" t="s">
        <v>277</v>
      </c>
      <c r="P89" s="873"/>
      <c r="Q89" s="873"/>
    </row>
    <row r="90" spans="3:17" ht="13.8" thickBot="1" x14ac:dyDescent="0.3">
      <c r="C90" s="366"/>
      <c r="D90" s="699" t="str">
        <f t="shared" ref="D90:N90" si="27">D57</f>
        <v>2017-18</v>
      </c>
      <c r="E90" s="699" t="str">
        <f t="shared" si="27"/>
        <v>2018-19</v>
      </c>
      <c r="F90" s="699" t="str">
        <f t="shared" si="27"/>
        <v>2019-20</v>
      </c>
      <c r="G90" s="699" t="str">
        <f t="shared" si="27"/>
        <v>2020-21</v>
      </c>
      <c r="H90" s="699" t="str">
        <f t="shared" si="27"/>
        <v>2021-22</v>
      </c>
      <c r="I90" s="699" t="str">
        <f t="shared" si="27"/>
        <v>2022-23</v>
      </c>
      <c r="J90" s="699" t="str">
        <f t="shared" si="27"/>
        <v>2023-24</v>
      </c>
      <c r="K90" s="699" t="str">
        <f t="shared" si="27"/>
        <v>2024-25</v>
      </c>
      <c r="L90" s="699" t="str">
        <f t="shared" si="27"/>
        <v>2025-26</v>
      </c>
      <c r="M90" s="699" t="str">
        <f t="shared" si="27"/>
        <v>2026-27</v>
      </c>
      <c r="N90" s="699" t="str">
        <f t="shared" si="27"/>
        <v>2027-28</v>
      </c>
      <c r="O90" s="871"/>
      <c r="P90" s="874"/>
      <c r="Q90" s="874"/>
    </row>
    <row r="91" spans="3:17" ht="13.8" x14ac:dyDescent="0.25">
      <c r="C91" s="848" t="s">
        <v>361</v>
      </c>
      <c r="D91" s="877"/>
      <c r="E91" s="878"/>
      <c r="F91" s="878"/>
      <c r="G91" s="878"/>
      <c r="H91" s="878"/>
      <c r="I91" s="878"/>
      <c r="J91" s="878"/>
      <c r="K91" s="878"/>
      <c r="L91" s="878"/>
      <c r="M91" s="878"/>
      <c r="N91" s="878"/>
      <c r="O91" s="878"/>
      <c r="P91" s="508"/>
      <c r="Q91" s="509"/>
    </row>
    <row r="92" spans="3:17" ht="13.8" x14ac:dyDescent="0.25">
      <c r="C92" s="491" t="s">
        <v>399</v>
      </c>
      <c r="D92" s="480"/>
      <c r="E92" s="481"/>
      <c r="F92" s="481"/>
      <c r="G92" s="481"/>
      <c r="H92" s="481"/>
      <c r="I92" s="481"/>
      <c r="J92" s="481"/>
      <c r="K92" s="481"/>
      <c r="L92" s="481"/>
      <c r="M92" s="481"/>
      <c r="N92" s="481"/>
      <c r="O92" s="482"/>
      <c r="P92" s="482"/>
      <c r="Q92" s="482"/>
    </row>
    <row r="93" spans="3:17" ht="13.8" x14ac:dyDescent="0.25">
      <c r="C93" s="491" t="s">
        <v>400</v>
      </c>
      <c r="D93" s="483"/>
      <c r="E93" s="484"/>
      <c r="F93" s="484"/>
      <c r="G93" s="484"/>
      <c r="H93" s="484"/>
      <c r="I93" s="484"/>
      <c r="J93" s="484"/>
      <c r="K93" s="484"/>
      <c r="L93" s="484"/>
      <c r="M93" s="484"/>
      <c r="N93" s="484"/>
      <c r="O93" s="485"/>
      <c r="P93" s="485"/>
      <c r="Q93" s="485"/>
    </row>
    <row r="94" spans="3:17" ht="13.8" x14ac:dyDescent="0.25">
      <c r="C94" s="402" t="s">
        <v>401</v>
      </c>
      <c r="D94" s="475">
        <v>34247600</v>
      </c>
      <c r="E94" s="475">
        <v>34991281</v>
      </c>
      <c r="F94" s="475">
        <v>38933002</v>
      </c>
      <c r="G94" s="475">
        <v>39983817</v>
      </c>
      <c r="H94" s="475">
        <v>41064330</v>
      </c>
      <c r="I94" s="475">
        <v>42174317</v>
      </c>
      <c r="J94" s="475">
        <v>43314482</v>
      </c>
      <c r="K94" s="475">
        <v>44485823</v>
      </c>
      <c r="L94" s="476">
        <v>45689117</v>
      </c>
      <c r="M94" s="475">
        <v>46922553</v>
      </c>
      <c r="N94" s="476">
        <v>48189766</v>
      </c>
      <c r="O94" s="700">
        <f t="shared" ref="O94:O99" si="28">SUM(E94:N94)</f>
        <v>425748488</v>
      </c>
      <c r="P94" s="700">
        <f t="shared" ref="P94:P99" si="29">N94-D94</f>
        <v>13942166</v>
      </c>
      <c r="Q94" s="701">
        <f t="shared" ref="Q94:Q99" si="30">P94/D94</f>
        <v>0.40709906679592145</v>
      </c>
    </row>
    <row r="95" spans="3:17" ht="13.8" x14ac:dyDescent="0.25">
      <c r="C95" s="402" t="s">
        <v>402</v>
      </c>
      <c r="D95" s="174">
        <v>28360500</v>
      </c>
      <c r="E95" s="174">
        <v>29513980</v>
      </c>
      <c r="F95" s="174">
        <v>30467518</v>
      </c>
      <c r="G95" s="174">
        <v>31491933</v>
      </c>
      <c r="H95" s="174">
        <v>32251885</v>
      </c>
      <c r="I95" s="174">
        <v>33036075</v>
      </c>
      <c r="J95" s="174">
        <v>33839507</v>
      </c>
      <c r="K95" s="174">
        <v>34656565</v>
      </c>
      <c r="L95" s="174">
        <v>35499697</v>
      </c>
      <c r="M95" s="174">
        <v>36357416</v>
      </c>
      <c r="N95" s="174">
        <v>37067066</v>
      </c>
      <c r="O95" s="700">
        <f t="shared" si="28"/>
        <v>334181642</v>
      </c>
      <c r="P95" s="700">
        <f t="shared" si="29"/>
        <v>8706566</v>
      </c>
      <c r="Q95" s="701">
        <f t="shared" si="30"/>
        <v>0.30699620951675743</v>
      </c>
    </row>
    <row r="96" spans="3:17" ht="13.8" x14ac:dyDescent="0.25">
      <c r="C96" s="402" t="s">
        <v>403</v>
      </c>
      <c r="D96" s="174">
        <v>643300</v>
      </c>
      <c r="E96" s="174">
        <v>697719</v>
      </c>
      <c r="F96" s="174">
        <v>740791</v>
      </c>
      <c r="G96" s="174">
        <v>907817</v>
      </c>
      <c r="H96" s="174">
        <v>1001217</v>
      </c>
      <c r="I96" s="174">
        <v>1084352</v>
      </c>
      <c r="J96" s="174">
        <v>1148606</v>
      </c>
      <c r="K96" s="174">
        <v>1219710</v>
      </c>
      <c r="L96" s="174">
        <v>1320426</v>
      </c>
      <c r="M96" s="174">
        <v>1363316</v>
      </c>
      <c r="N96" s="174">
        <v>1396197</v>
      </c>
      <c r="O96" s="700">
        <f t="shared" si="28"/>
        <v>10880151</v>
      </c>
      <c r="P96" s="700">
        <f t="shared" si="29"/>
        <v>752897</v>
      </c>
      <c r="Q96" s="701">
        <f t="shared" si="30"/>
        <v>1.1703668583864448</v>
      </c>
    </row>
    <row r="97" spans="3:17" ht="13.8" x14ac:dyDescent="0.25">
      <c r="C97" s="402" t="s">
        <v>404</v>
      </c>
      <c r="D97" s="174">
        <v>3135500</v>
      </c>
      <c r="E97" s="174">
        <v>2742003</v>
      </c>
      <c r="F97" s="174">
        <v>2813519</v>
      </c>
      <c r="G97" s="174">
        <v>2882563</v>
      </c>
      <c r="H97" s="174">
        <v>2956430</v>
      </c>
      <c r="I97" s="174">
        <v>3029168</v>
      </c>
      <c r="J97" s="174">
        <v>3105568</v>
      </c>
      <c r="K97" s="174">
        <v>3180056</v>
      </c>
      <c r="L97" s="174">
        <v>3259447</v>
      </c>
      <c r="M97" s="174">
        <v>3337680</v>
      </c>
      <c r="N97" s="174">
        <v>3358399</v>
      </c>
      <c r="O97" s="700">
        <f t="shared" si="28"/>
        <v>30664833</v>
      </c>
      <c r="P97" s="700">
        <f t="shared" si="29"/>
        <v>222899</v>
      </c>
      <c r="Q97" s="701">
        <f t="shared" si="30"/>
        <v>7.1088821559559881E-2</v>
      </c>
    </row>
    <row r="98" spans="3:17" ht="13.8" x14ac:dyDescent="0.25">
      <c r="C98" s="402" t="s">
        <v>405</v>
      </c>
      <c r="D98" s="174">
        <v>9478400</v>
      </c>
      <c r="E98" s="174">
        <v>10134194</v>
      </c>
      <c r="F98" s="174">
        <v>10085858</v>
      </c>
      <c r="G98" s="174">
        <v>10108354</v>
      </c>
      <c r="H98" s="174">
        <v>10189842</v>
      </c>
      <c r="I98" s="174">
        <v>10273474</v>
      </c>
      <c r="J98" s="174">
        <v>10359304</v>
      </c>
      <c r="K98" s="174">
        <v>10447287</v>
      </c>
      <c r="L98" s="174">
        <v>10522253</v>
      </c>
      <c r="M98" s="174">
        <v>10621130</v>
      </c>
      <c r="N98" s="174">
        <v>10722493</v>
      </c>
      <c r="O98" s="700">
        <f t="shared" si="28"/>
        <v>103464189</v>
      </c>
      <c r="P98" s="700">
        <f t="shared" si="29"/>
        <v>1244093</v>
      </c>
      <c r="Q98" s="701">
        <f t="shared" si="30"/>
        <v>0.13125559166103984</v>
      </c>
    </row>
    <row r="99" spans="3:17" ht="27.6" x14ac:dyDescent="0.25">
      <c r="C99" s="402" t="s">
        <v>406</v>
      </c>
      <c r="D99" s="600">
        <v>9642100</v>
      </c>
      <c r="E99" s="600">
        <v>9054849</v>
      </c>
      <c r="F99" s="600">
        <v>9646424</v>
      </c>
      <c r="G99" s="600">
        <v>11978823</v>
      </c>
      <c r="H99" s="600">
        <v>2012163</v>
      </c>
      <c r="I99" s="600">
        <v>2046359</v>
      </c>
      <c r="J99" s="600">
        <v>2081327</v>
      </c>
      <c r="K99" s="600">
        <v>2117383</v>
      </c>
      <c r="L99" s="600">
        <v>2154246</v>
      </c>
      <c r="M99" s="600">
        <v>2192231</v>
      </c>
      <c r="N99" s="600">
        <v>2229537</v>
      </c>
      <c r="O99" s="700">
        <f t="shared" si="28"/>
        <v>45513342</v>
      </c>
      <c r="P99" s="700">
        <f t="shared" si="29"/>
        <v>-7412563</v>
      </c>
      <c r="Q99" s="701">
        <f t="shared" si="30"/>
        <v>-0.76877059976561124</v>
      </c>
    </row>
    <row r="100" spans="3:17" ht="13.8" x14ac:dyDescent="0.25">
      <c r="C100" s="705" t="str">
        <f>C67</f>
        <v>Other Income:</v>
      </c>
      <c r="D100" s="477">
        <v>0</v>
      </c>
      <c r="E100" s="478"/>
      <c r="F100" s="478"/>
      <c r="G100" s="478"/>
      <c r="H100" s="478"/>
      <c r="I100" s="478"/>
      <c r="J100" s="478"/>
      <c r="K100" s="478"/>
      <c r="L100" s="478"/>
      <c r="M100" s="478"/>
      <c r="N100" s="478"/>
      <c r="O100" s="519"/>
      <c r="P100" s="519"/>
      <c r="Q100" s="523"/>
    </row>
    <row r="101" spans="3:17" ht="13.8" x14ac:dyDescent="0.25">
      <c r="C101" s="402" t="s">
        <v>408</v>
      </c>
      <c r="D101" s="475"/>
      <c r="E101" s="475"/>
      <c r="F101" s="475"/>
      <c r="G101" s="475"/>
      <c r="H101" s="475"/>
      <c r="I101" s="475"/>
      <c r="J101" s="475"/>
      <c r="K101" s="475"/>
      <c r="L101" s="475"/>
      <c r="M101" s="475"/>
      <c r="N101" s="475"/>
      <c r="O101" s="700">
        <f>SUM(E101:N101)</f>
        <v>0</v>
      </c>
      <c r="P101" s="700">
        <f>N101-D101</f>
        <v>0</v>
      </c>
      <c r="Q101" s="701" t="e">
        <f>P101/D101</f>
        <v>#DIV/0!</v>
      </c>
    </row>
    <row r="102" spans="3:17" ht="13.8" x14ac:dyDescent="0.25">
      <c r="C102" s="402" t="s">
        <v>409</v>
      </c>
      <c r="D102" s="696">
        <f t="shared" ref="D102:N102" si="31">SUM(D92:D101)</f>
        <v>85507400</v>
      </c>
      <c r="E102" s="696">
        <f t="shared" si="31"/>
        <v>87134026</v>
      </c>
      <c r="F102" s="696">
        <f t="shared" si="31"/>
        <v>92687112</v>
      </c>
      <c r="G102" s="696">
        <f t="shared" si="31"/>
        <v>97353307</v>
      </c>
      <c r="H102" s="696">
        <f t="shared" si="31"/>
        <v>89475867</v>
      </c>
      <c r="I102" s="696">
        <f t="shared" si="31"/>
        <v>91643745</v>
      </c>
      <c r="J102" s="696">
        <f t="shared" si="31"/>
        <v>93848794</v>
      </c>
      <c r="K102" s="696">
        <f t="shared" si="31"/>
        <v>96106824</v>
      </c>
      <c r="L102" s="696">
        <f t="shared" si="31"/>
        <v>98445186</v>
      </c>
      <c r="M102" s="696">
        <f t="shared" si="31"/>
        <v>100794326</v>
      </c>
      <c r="N102" s="696">
        <f t="shared" si="31"/>
        <v>102963458</v>
      </c>
      <c r="O102" s="700">
        <f>SUM(E102:N102)</f>
        <v>950452645</v>
      </c>
      <c r="P102" s="700">
        <f>N102-D102</f>
        <v>17456058</v>
      </c>
      <c r="Q102" s="701">
        <f>P102/D102</f>
        <v>0.20414675221091977</v>
      </c>
    </row>
    <row r="103" spans="3:17" ht="27.6" x14ac:dyDescent="0.25">
      <c r="C103" s="402" t="s">
        <v>542</v>
      </c>
      <c r="D103" s="696">
        <f t="shared" ref="D103:N103" si="32">D102-D99</f>
        <v>75865300</v>
      </c>
      <c r="E103" s="696">
        <f t="shared" si="32"/>
        <v>78079177</v>
      </c>
      <c r="F103" s="696">
        <f t="shared" si="32"/>
        <v>83040688</v>
      </c>
      <c r="G103" s="696">
        <f t="shared" si="32"/>
        <v>85374484</v>
      </c>
      <c r="H103" s="696">
        <f t="shared" si="32"/>
        <v>87463704</v>
      </c>
      <c r="I103" s="696">
        <f t="shared" si="32"/>
        <v>89597386</v>
      </c>
      <c r="J103" s="696">
        <f t="shared" si="32"/>
        <v>91767467</v>
      </c>
      <c r="K103" s="696">
        <f t="shared" si="32"/>
        <v>93989441</v>
      </c>
      <c r="L103" s="696">
        <f t="shared" si="32"/>
        <v>96290940</v>
      </c>
      <c r="M103" s="696">
        <f t="shared" si="32"/>
        <v>98602095</v>
      </c>
      <c r="N103" s="696">
        <f t="shared" si="32"/>
        <v>100733921</v>
      </c>
      <c r="O103" s="700">
        <f>SUM(E103:N103)</f>
        <v>904939303</v>
      </c>
      <c r="P103" s="700">
        <f>N103-D103</f>
        <v>24868621</v>
      </c>
      <c r="Q103" s="701">
        <f>P103/D103</f>
        <v>0.32779967916820996</v>
      </c>
    </row>
    <row r="104" spans="3:17" ht="13.8" x14ac:dyDescent="0.25">
      <c r="C104" s="211"/>
      <c r="D104" s="174"/>
      <c r="E104" s="174"/>
      <c r="F104" s="174"/>
      <c r="G104" s="174"/>
      <c r="H104" s="174"/>
      <c r="I104" s="174"/>
      <c r="J104" s="174"/>
      <c r="K104" s="174"/>
      <c r="L104" s="400"/>
      <c r="M104" s="174"/>
      <c r="N104" s="400"/>
      <c r="O104" s="311"/>
      <c r="P104" s="311"/>
      <c r="Q104" s="311"/>
    </row>
    <row r="105" spans="3:17" ht="13.8" x14ac:dyDescent="0.25">
      <c r="C105" s="848" t="s">
        <v>362</v>
      </c>
      <c r="D105" s="877"/>
      <c r="E105" s="878"/>
      <c r="F105" s="878"/>
      <c r="G105" s="878"/>
      <c r="H105" s="878"/>
      <c r="I105" s="878"/>
      <c r="J105" s="878"/>
      <c r="K105" s="878"/>
      <c r="L105" s="878"/>
      <c r="M105" s="878"/>
      <c r="N105" s="878"/>
      <c r="O105" s="878"/>
      <c r="P105" s="505"/>
      <c r="Q105" s="479"/>
    </row>
    <row r="106" spans="3:17" ht="13.8" x14ac:dyDescent="0.25">
      <c r="C106" s="491" t="s">
        <v>410</v>
      </c>
      <c r="D106" s="477"/>
      <c r="E106" s="478"/>
      <c r="F106" s="478"/>
      <c r="G106" s="478"/>
      <c r="H106" s="478"/>
      <c r="I106" s="478"/>
      <c r="J106" s="478"/>
      <c r="K106" s="478"/>
      <c r="L106" s="478"/>
      <c r="M106" s="478"/>
      <c r="N106" s="478"/>
      <c r="O106" s="479"/>
      <c r="P106" s="479"/>
      <c r="Q106" s="479"/>
    </row>
    <row r="107" spans="3:17" ht="13.8" x14ac:dyDescent="0.25">
      <c r="C107" s="528" t="s">
        <v>411</v>
      </c>
      <c r="D107" s="475">
        <v>30553300</v>
      </c>
      <c r="E107" s="475">
        <v>30957971</v>
      </c>
      <c r="F107" s="475">
        <v>31664025</v>
      </c>
      <c r="G107" s="475">
        <v>32374831</v>
      </c>
      <c r="H107" s="475">
        <v>33172461</v>
      </c>
      <c r="I107" s="475">
        <v>33970020</v>
      </c>
      <c r="J107" s="475">
        <v>34806814</v>
      </c>
      <c r="K107" s="475">
        <v>35643750</v>
      </c>
      <c r="L107" s="475">
        <v>36515052</v>
      </c>
      <c r="M107" s="475">
        <v>37387206</v>
      </c>
      <c r="N107" s="475">
        <v>38227425</v>
      </c>
      <c r="O107" s="700">
        <f>SUM(E107:N107)</f>
        <v>344719555</v>
      </c>
      <c r="P107" s="700">
        <f t="shared" ref="P107:P112" si="33">N107-D107</f>
        <v>7674125</v>
      </c>
      <c r="Q107" s="701">
        <f>P107/D107</f>
        <v>0.25117172285808737</v>
      </c>
    </row>
    <row r="108" spans="3:17" ht="13.8" x14ac:dyDescent="0.25">
      <c r="C108" s="528" t="s">
        <v>544</v>
      </c>
      <c r="D108" s="174">
        <v>1778200</v>
      </c>
      <c r="E108" s="174">
        <v>1762200</v>
      </c>
      <c r="F108" s="174">
        <v>1633172</v>
      </c>
      <c r="G108" s="174">
        <v>1417019</v>
      </c>
      <c r="H108" s="174">
        <v>1211344</v>
      </c>
      <c r="I108" s="174">
        <v>997949</v>
      </c>
      <c r="J108" s="174">
        <v>807239</v>
      </c>
      <c r="K108" s="174">
        <v>635317</v>
      </c>
      <c r="L108" s="174">
        <v>491486</v>
      </c>
      <c r="M108" s="174">
        <v>376849</v>
      </c>
      <c r="N108" s="174">
        <v>370711</v>
      </c>
      <c r="O108" s="700">
        <f t="shared" ref="O108:O115" si="34">SUM(E108:N108)</f>
        <v>9703286</v>
      </c>
      <c r="P108" s="700">
        <f t="shared" si="33"/>
        <v>-1407489</v>
      </c>
      <c r="Q108" s="701">
        <f t="shared" ref="Q108:Q115" si="35">P108/D108</f>
        <v>-0.79152457541333932</v>
      </c>
    </row>
    <row r="109" spans="3:17" ht="13.8" x14ac:dyDescent="0.25">
      <c r="C109" s="528" t="s">
        <v>412</v>
      </c>
      <c r="D109" s="174">
        <v>23902300</v>
      </c>
      <c r="E109" s="174">
        <v>21755734</v>
      </c>
      <c r="F109" s="174">
        <v>21806418</v>
      </c>
      <c r="G109" s="174">
        <v>22092121</v>
      </c>
      <c r="H109" s="174">
        <v>21960330</v>
      </c>
      <c r="I109" s="174">
        <v>22466153</v>
      </c>
      <c r="J109" s="174">
        <v>23033209</v>
      </c>
      <c r="K109" s="174">
        <v>23540345</v>
      </c>
      <c r="L109" s="174">
        <v>24172135</v>
      </c>
      <c r="M109" s="174">
        <v>24718412</v>
      </c>
      <c r="N109" s="174">
        <v>25249798</v>
      </c>
      <c r="O109" s="700">
        <f t="shared" si="34"/>
        <v>230794655</v>
      </c>
      <c r="P109" s="700">
        <f t="shared" si="33"/>
        <v>1347498</v>
      </c>
      <c r="Q109" s="701">
        <f t="shared" si="35"/>
        <v>5.637524422335926E-2</v>
      </c>
    </row>
    <row r="110" spans="3:17" ht="13.8" x14ac:dyDescent="0.25">
      <c r="C110" s="528" t="s">
        <v>413</v>
      </c>
      <c r="D110" s="600">
        <v>14760300</v>
      </c>
      <c r="E110" s="174">
        <v>15089519</v>
      </c>
      <c r="F110" s="174">
        <v>15455496</v>
      </c>
      <c r="G110" s="174">
        <v>15827767</v>
      </c>
      <c r="H110" s="174">
        <v>16209443</v>
      </c>
      <c r="I110" s="174">
        <v>16600558</v>
      </c>
      <c r="J110" s="174">
        <v>17001448</v>
      </c>
      <c r="K110" s="174">
        <v>17412358</v>
      </c>
      <c r="L110" s="400">
        <v>17833640</v>
      </c>
      <c r="M110" s="174">
        <v>18265421</v>
      </c>
      <c r="N110" s="400">
        <v>18707997</v>
      </c>
      <c r="O110" s="700">
        <f t="shared" si="34"/>
        <v>168403647</v>
      </c>
      <c r="P110" s="700">
        <f t="shared" si="33"/>
        <v>3947697</v>
      </c>
      <c r="Q110" s="701">
        <f t="shared" si="35"/>
        <v>0.26745371029044124</v>
      </c>
    </row>
    <row r="111" spans="3:17" ht="13.8" x14ac:dyDescent="0.25">
      <c r="C111" s="528" t="s">
        <v>414</v>
      </c>
      <c r="D111" s="604">
        <v>4888100</v>
      </c>
      <c r="E111" s="174">
        <v>4842319</v>
      </c>
      <c r="F111" s="174">
        <v>4970075</v>
      </c>
      <c r="G111" s="174">
        <v>5345254</v>
      </c>
      <c r="H111" s="174">
        <v>5207521</v>
      </c>
      <c r="I111" s="174">
        <v>5318151</v>
      </c>
      <c r="J111" s="174">
        <v>5462815</v>
      </c>
      <c r="K111" s="174">
        <v>5945090</v>
      </c>
      <c r="L111" s="400">
        <v>5718654</v>
      </c>
      <c r="M111" s="174">
        <v>5831952</v>
      </c>
      <c r="N111" s="400">
        <v>5969560.5</v>
      </c>
      <c r="O111" s="700">
        <f t="shared" si="34"/>
        <v>54611391.5</v>
      </c>
      <c r="P111" s="700">
        <f t="shared" si="33"/>
        <v>1081460.5</v>
      </c>
      <c r="Q111" s="701">
        <f t="shared" si="35"/>
        <v>0.22124353020601051</v>
      </c>
    </row>
    <row r="112" spans="3:17" ht="13.8" x14ac:dyDescent="0.25">
      <c r="C112" s="528" t="s">
        <v>488</v>
      </c>
      <c r="D112" s="605">
        <v>875600</v>
      </c>
      <c r="E112" s="400">
        <v>866844</v>
      </c>
      <c r="F112" s="400">
        <v>858176</v>
      </c>
      <c r="G112" s="400">
        <v>849594</v>
      </c>
      <c r="H112" s="400">
        <v>841098</v>
      </c>
      <c r="I112" s="400">
        <v>832687</v>
      </c>
      <c r="J112" s="400">
        <v>824360</v>
      </c>
      <c r="K112" s="400">
        <v>816116</v>
      </c>
      <c r="L112" s="400">
        <v>807955</v>
      </c>
      <c r="M112" s="400">
        <v>807955</v>
      </c>
      <c r="N112" s="400">
        <v>807955</v>
      </c>
      <c r="O112" s="700">
        <f t="shared" si="34"/>
        <v>8312740</v>
      </c>
      <c r="P112" s="700">
        <f t="shared" si="33"/>
        <v>-67645</v>
      </c>
      <c r="Q112" s="701">
        <f t="shared" si="35"/>
        <v>-7.7255596162631335E-2</v>
      </c>
    </row>
    <row r="113" spans="3:17" ht="13.8" x14ac:dyDescent="0.25">
      <c r="C113" s="528" t="s">
        <v>415</v>
      </c>
      <c r="D113" s="696">
        <f t="shared" ref="D113:N113" si="36">SUM(D106:D112)</f>
        <v>76757800</v>
      </c>
      <c r="E113" s="696">
        <f t="shared" si="36"/>
        <v>75274587</v>
      </c>
      <c r="F113" s="696">
        <f t="shared" si="36"/>
        <v>76387362</v>
      </c>
      <c r="G113" s="696">
        <f t="shared" si="36"/>
        <v>77906586</v>
      </c>
      <c r="H113" s="696">
        <f t="shared" si="36"/>
        <v>78602197</v>
      </c>
      <c r="I113" s="696">
        <f t="shared" si="36"/>
        <v>80185518</v>
      </c>
      <c r="J113" s="696">
        <f t="shared" si="36"/>
        <v>81935885</v>
      </c>
      <c r="K113" s="696">
        <f t="shared" si="36"/>
        <v>83992976</v>
      </c>
      <c r="L113" s="696">
        <f t="shared" si="36"/>
        <v>85538922</v>
      </c>
      <c r="M113" s="696">
        <f t="shared" si="36"/>
        <v>87387795</v>
      </c>
      <c r="N113" s="696">
        <f t="shared" si="36"/>
        <v>89333446.5</v>
      </c>
      <c r="O113" s="700">
        <f t="shared" si="34"/>
        <v>816545274.5</v>
      </c>
      <c r="P113" s="700">
        <f>N113-D113</f>
        <v>12575646.5</v>
      </c>
      <c r="Q113" s="701">
        <f t="shared" si="35"/>
        <v>0.16383542128617548</v>
      </c>
    </row>
    <row r="114" spans="3:17" ht="27.6" x14ac:dyDescent="0.25">
      <c r="C114" s="528" t="s">
        <v>416</v>
      </c>
      <c r="D114" s="696">
        <f t="shared" ref="D114:N114" si="37">D102-D113</f>
        <v>8749600</v>
      </c>
      <c r="E114" s="696">
        <f t="shared" si="37"/>
        <v>11859439</v>
      </c>
      <c r="F114" s="696">
        <f t="shared" si="37"/>
        <v>16299750</v>
      </c>
      <c r="G114" s="696">
        <f t="shared" si="37"/>
        <v>19446721</v>
      </c>
      <c r="H114" s="696">
        <f t="shared" si="37"/>
        <v>10873670</v>
      </c>
      <c r="I114" s="696">
        <f t="shared" si="37"/>
        <v>11458227</v>
      </c>
      <c r="J114" s="696">
        <f t="shared" si="37"/>
        <v>11912909</v>
      </c>
      <c r="K114" s="696">
        <f t="shared" si="37"/>
        <v>12113848</v>
      </c>
      <c r="L114" s="696">
        <f t="shared" si="37"/>
        <v>12906264</v>
      </c>
      <c r="M114" s="696">
        <f t="shared" si="37"/>
        <v>13406531</v>
      </c>
      <c r="N114" s="696">
        <f t="shared" si="37"/>
        <v>13630011.5</v>
      </c>
      <c r="O114" s="700">
        <f t="shared" si="34"/>
        <v>133907370.5</v>
      </c>
      <c r="P114" s="700">
        <f>N114-D114</f>
        <v>4880411.5</v>
      </c>
      <c r="Q114" s="701">
        <f t="shared" si="35"/>
        <v>0.5577868131114565</v>
      </c>
    </row>
    <row r="115" spans="3:17" ht="27.6" x14ac:dyDescent="0.25">
      <c r="C115" s="528" t="s">
        <v>543</v>
      </c>
      <c r="D115" s="696">
        <f t="shared" ref="D115:N115" si="38">D103-D113</f>
        <v>-892500</v>
      </c>
      <c r="E115" s="696">
        <f t="shared" si="38"/>
        <v>2804590</v>
      </c>
      <c r="F115" s="696">
        <f t="shared" si="38"/>
        <v>6653326</v>
      </c>
      <c r="G115" s="696">
        <f t="shared" si="38"/>
        <v>7467898</v>
      </c>
      <c r="H115" s="696">
        <f t="shared" si="38"/>
        <v>8861507</v>
      </c>
      <c r="I115" s="696">
        <f t="shared" si="38"/>
        <v>9411868</v>
      </c>
      <c r="J115" s="696">
        <f t="shared" si="38"/>
        <v>9831582</v>
      </c>
      <c r="K115" s="696">
        <f t="shared" si="38"/>
        <v>9996465</v>
      </c>
      <c r="L115" s="696">
        <f t="shared" si="38"/>
        <v>10752018</v>
      </c>
      <c r="M115" s="696">
        <f t="shared" si="38"/>
        <v>11214300</v>
      </c>
      <c r="N115" s="696">
        <f t="shared" si="38"/>
        <v>11400474.5</v>
      </c>
      <c r="O115" s="700">
        <f t="shared" si="34"/>
        <v>88394028.5</v>
      </c>
      <c r="P115" s="700">
        <f>N115-D115</f>
        <v>12292974.5</v>
      </c>
      <c r="Q115" s="701">
        <f t="shared" si="35"/>
        <v>-13.773640896358543</v>
      </c>
    </row>
    <row r="116" spans="3:17" ht="13.8" x14ac:dyDescent="0.25">
      <c r="C116" s="530"/>
      <c r="D116" s="174"/>
      <c r="E116" s="174"/>
      <c r="F116" s="174"/>
      <c r="G116" s="174"/>
      <c r="H116" s="174"/>
      <c r="I116" s="174"/>
      <c r="J116" s="174"/>
      <c r="K116" s="174"/>
      <c r="L116" s="174"/>
      <c r="M116" s="174"/>
      <c r="N116" s="174"/>
      <c r="O116" s="400"/>
      <c r="P116" s="400"/>
      <c r="Q116" s="174"/>
    </row>
    <row r="117" spans="3:17" ht="13.8" x14ac:dyDescent="0.25">
      <c r="C117" s="528" t="s">
        <v>418</v>
      </c>
      <c r="D117" s="546"/>
      <c r="E117" s="696">
        <f t="shared" ref="E117:N117" si="39">E94-D94</f>
        <v>743681</v>
      </c>
      <c r="F117" s="696">
        <f t="shared" si="39"/>
        <v>3941721</v>
      </c>
      <c r="G117" s="696">
        <f t="shared" si="39"/>
        <v>1050815</v>
      </c>
      <c r="H117" s="696">
        <f t="shared" si="39"/>
        <v>1080513</v>
      </c>
      <c r="I117" s="696">
        <f t="shared" si="39"/>
        <v>1109987</v>
      </c>
      <c r="J117" s="696">
        <f t="shared" si="39"/>
        <v>1140165</v>
      </c>
      <c r="K117" s="696">
        <f t="shared" si="39"/>
        <v>1171341</v>
      </c>
      <c r="L117" s="696">
        <f t="shared" si="39"/>
        <v>1203294</v>
      </c>
      <c r="M117" s="696">
        <f t="shared" si="39"/>
        <v>1233436</v>
      </c>
      <c r="N117" s="696">
        <f t="shared" si="39"/>
        <v>1267213</v>
      </c>
      <c r="O117" s="696">
        <f>N94-D94</f>
        <v>13942166</v>
      </c>
      <c r="P117" s="546"/>
      <c r="Q117" s="546"/>
    </row>
    <row r="118" spans="3:17" ht="27.6" x14ac:dyDescent="0.25">
      <c r="C118" s="528" t="s">
        <v>456</v>
      </c>
      <c r="D118" s="546"/>
      <c r="E118" s="704">
        <f t="shared" ref="E118:N118" si="40">(E94/D94)-1</f>
        <v>2.1714835492122164E-2</v>
      </c>
      <c r="F118" s="704">
        <f t="shared" si="40"/>
        <v>0.1126486623910683</v>
      </c>
      <c r="G118" s="704">
        <f t="shared" si="40"/>
        <v>2.6990340996566387E-2</v>
      </c>
      <c r="H118" s="704">
        <f t="shared" si="40"/>
        <v>2.702375813694835E-2</v>
      </c>
      <c r="I118" s="704">
        <f t="shared" si="40"/>
        <v>2.7030442235390195E-2</v>
      </c>
      <c r="J118" s="704">
        <f t="shared" si="40"/>
        <v>2.703458125949032E-2</v>
      </c>
      <c r="K118" s="704">
        <f t="shared" si="40"/>
        <v>2.7042710565025274E-2</v>
      </c>
      <c r="L118" s="704">
        <f t="shared" si="40"/>
        <v>2.7048931970978796E-2</v>
      </c>
      <c r="M118" s="704">
        <f t="shared" si="40"/>
        <v>2.6996275721415275E-2</v>
      </c>
      <c r="N118" s="704">
        <f t="shared" si="40"/>
        <v>2.7006480231371865E-2</v>
      </c>
      <c r="O118" s="701">
        <f>(N94/D94)-1</f>
        <v>0.40709906679592156</v>
      </c>
      <c r="P118" s="546"/>
      <c r="Q118" s="546"/>
    </row>
    <row r="120" spans="3:17" ht="12" thickBot="1" x14ac:dyDescent="0.25"/>
    <row r="121" spans="3:17" ht="16.2" thickBot="1" x14ac:dyDescent="0.35">
      <c r="E121" s="866" t="s">
        <v>417</v>
      </c>
      <c r="F121" s="867"/>
      <c r="G121" s="867"/>
      <c r="H121" s="867"/>
      <c r="I121" s="867"/>
      <c r="J121" s="867"/>
      <c r="K121" s="867"/>
      <c r="L121" s="867"/>
      <c r="M121" s="868"/>
      <c r="N121" s="868"/>
      <c r="O121" s="868"/>
      <c r="P121" s="480"/>
      <c r="Q121" s="482"/>
    </row>
    <row r="122" spans="3:17" ht="16.2" thickTop="1" x14ac:dyDescent="0.3">
      <c r="C122" s="362"/>
      <c r="D122" s="506"/>
      <c r="E122" s="875"/>
      <c r="F122" s="876"/>
      <c r="G122" s="876"/>
      <c r="H122" s="876"/>
      <c r="I122" s="876"/>
      <c r="J122" s="876"/>
      <c r="K122" s="876"/>
      <c r="L122" s="876"/>
      <c r="M122" s="876"/>
      <c r="N122" s="876"/>
      <c r="O122" s="876"/>
      <c r="P122" s="513"/>
      <c r="Q122" s="509"/>
    </row>
    <row r="123" spans="3:17" ht="12.75" customHeight="1" x14ac:dyDescent="0.25">
      <c r="C123" s="363"/>
      <c r="D123" s="364" t="s">
        <v>424</v>
      </c>
      <c r="E123" s="364" t="s">
        <v>267</v>
      </c>
      <c r="F123" s="364" t="s">
        <v>268</v>
      </c>
      <c r="G123" s="364" t="s">
        <v>269</v>
      </c>
      <c r="H123" s="364" t="s">
        <v>270</v>
      </c>
      <c r="I123" s="364" t="s">
        <v>271</v>
      </c>
      <c r="J123" s="364" t="s">
        <v>272</v>
      </c>
      <c r="K123" s="364" t="s">
        <v>273</v>
      </c>
      <c r="L123" s="364" t="s">
        <v>274</v>
      </c>
      <c r="M123" s="364" t="s">
        <v>275</v>
      </c>
      <c r="N123" s="364" t="s">
        <v>276</v>
      </c>
      <c r="O123" s="870" t="s">
        <v>277</v>
      </c>
      <c r="P123" s="513"/>
      <c r="Q123" s="509"/>
    </row>
    <row r="124" spans="3:17" ht="13.2" x14ac:dyDescent="0.25">
      <c r="C124" s="366"/>
      <c r="D124" s="699" t="str">
        <f t="shared" ref="D124:N124" si="41">D57</f>
        <v>2017-18</v>
      </c>
      <c r="E124" s="699" t="str">
        <f t="shared" si="41"/>
        <v>2018-19</v>
      </c>
      <c r="F124" s="699" t="str">
        <f t="shared" si="41"/>
        <v>2019-20</v>
      </c>
      <c r="G124" s="699" t="str">
        <f t="shared" si="41"/>
        <v>2020-21</v>
      </c>
      <c r="H124" s="699" t="str">
        <f t="shared" si="41"/>
        <v>2021-22</v>
      </c>
      <c r="I124" s="699" t="str">
        <f t="shared" si="41"/>
        <v>2022-23</v>
      </c>
      <c r="J124" s="699" t="str">
        <f t="shared" si="41"/>
        <v>2023-24</v>
      </c>
      <c r="K124" s="699" t="str">
        <f t="shared" si="41"/>
        <v>2024-25</v>
      </c>
      <c r="L124" s="699" t="str">
        <f t="shared" si="41"/>
        <v>2025-26</v>
      </c>
      <c r="M124" s="699" t="str">
        <f t="shared" si="41"/>
        <v>2026-27</v>
      </c>
      <c r="N124" s="699" t="str">
        <f t="shared" si="41"/>
        <v>2027-28</v>
      </c>
      <c r="O124" s="871"/>
      <c r="P124" s="513"/>
      <c r="Q124" s="509"/>
    </row>
    <row r="125" spans="3:17" ht="13.8" x14ac:dyDescent="0.25">
      <c r="C125" s="880" t="s">
        <v>361</v>
      </c>
      <c r="D125" s="877"/>
      <c r="E125" s="878"/>
      <c r="F125" s="878"/>
      <c r="G125" s="878"/>
      <c r="H125" s="878"/>
      <c r="I125" s="878"/>
      <c r="J125" s="878"/>
      <c r="K125" s="878"/>
      <c r="L125" s="878"/>
      <c r="M125" s="878"/>
      <c r="N125" s="878"/>
      <c r="O125" s="878"/>
      <c r="P125" s="513"/>
      <c r="Q125" s="509"/>
    </row>
    <row r="126" spans="3:17" ht="13.8" x14ac:dyDescent="0.25">
      <c r="C126" s="491" t="s">
        <v>399</v>
      </c>
      <c r="D126" s="480"/>
      <c r="E126" s="481"/>
      <c r="F126" s="481"/>
      <c r="G126" s="481"/>
      <c r="H126" s="481"/>
      <c r="I126" s="481"/>
      <c r="J126" s="481"/>
      <c r="K126" s="481"/>
      <c r="L126" s="481"/>
      <c r="M126" s="481"/>
      <c r="N126" s="481"/>
      <c r="O126" s="481"/>
      <c r="P126" s="513"/>
      <c r="Q126" s="509"/>
    </row>
    <row r="127" spans="3:17" ht="13.8" x14ac:dyDescent="0.25">
      <c r="C127" s="491" t="s">
        <v>400</v>
      </c>
      <c r="D127" s="483"/>
      <c r="E127" s="484"/>
      <c r="F127" s="484"/>
      <c r="G127" s="484"/>
      <c r="H127" s="484"/>
      <c r="I127" s="484"/>
      <c r="J127" s="484"/>
      <c r="K127" s="484"/>
      <c r="L127" s="484"/>
      <c r="M127" s="484"/>
      <c r="N127" s="484"/>
      <c r="O127" s="484"/>
      <c r="P127" s="513"/>
      <c r="Q127" s="509"/>
    </row>
    <row r="128" spans="3:17" ht="13.8" x14ac:dyDescent="0.25">
      <c r="C128" s="528" t="s">
        <v>401</v>
      </c>
      <c r="D128" s="696">
        <f t="shared" ref="D128:O128" si="42">D28-D61</f>
        <v>0</v>
      </c>
      <c r="E128" s="696">
        <f t="shared" si="42"/>
        <v>120000</v>
      </c>
      <c r="F128" s="696">
        <f t="shared" si="42"/>
        <v>123300</v>
      </c>
      <c r="G128" s="696">
        <f t="shared" si="42"/>
        <v>126690</v>
      </c>
      <c r="H128" s="696">
        <f t="shared" si="42"/>
        <v>130175</v>
      </c>
      <c r="I128" s="696">
        <f t="shared" si="42"/>
        <v>133755</v>
      </c>
      <c r="J128" s="696">
        <f t="shared" si="42"/>
        <v>1633</v>
      </c>
      <c r="K128" s="696">
        <f t="shared" si="42"/>
        <v>1677</v>
      </c>
      <c r="L128" s="696">
        <f t="shared" si="42"/>
        <v>1724</v>
      </c>
      <c r="M128" s="696">
        <f t="shared" si="42"/>
        <v>1771</v>
      </c>
      <c r="N128" s="696">
        <f t="shared" si="42"/>
        <v>1820</v>
      </c>
      <c r="O128" s="702">
        <f t="shared" si="42"/>
        <v>642545</v>
      </c>
      <c r="P128" s="513"/>
      <c r="Q128" s="509"/>
    </row>
    <row r="129" spans="3:17" ht="13.8" x14ac:dyDescent="0.25">
      <c r="C129" s="528" t="s">
        <v>402</v>
      </c>
      <c r="D129" s="696">
        <f t="shared" ref="D129:O129" si="43">D29-D62</f>
        <v>0</v>
      </c>
      <c r="E129" s="696">
        <f t="shared" si="43"/>
        <v>0</v>
      </c>
      <c r="F129" s="696">
        <f t="shared" si="43"/>
        <v>0</v>
      </c>
      <c r="G129" s="696">
        <f t="shared" si="43"/>
        <v>0</v>
      </c>
      <c r="H129" s="696">
        <f t="shared" si="43"/>
        <v>0</v>
      </c>
      <c r="I129" s="696">
        <f t="shared" si="43"/>
        <v>0</v>
      </c>
      <c r="J129" s="696">
        <f t="shared" si="43"/>
        <v>0</v>
      </c>
      <c r="K129" s="696">
        <f t="shared" si="43"/>
        <v>0</v>
      </c>
      <c r="L129" s="696">
        <f t="shared" si="43"/>
        <v>0</v>
      </c>
      <c r="M129" s="696">
        <f t="shared" si="43"/>
        <v>0</v>
      </c>
      <c r="N129" s="696">
        <f t="shared" si="43"/>
        <v>0</v>
      </c>
      <c r="O129" s="702">
        <f t="shared" si="43"/>
        <v>0</v>
      </c>
      <c r="P129" s="513"/>
      <c r="Q129" s="509"/>
    </row>
    <row r="130" spans="3:17" ht="13.8" x14ac:dyDescent="0.25">
      <c r="C130" s="528" t="s">
        <v>403</v>
      </c>
      <c r="D130" s="696">
        <f t="shared" ref="D130:O130" si="44">D30-D63</f>
        <v>0</v>
      </c>
      <c r="E130" s="696">
        <f t="shared" si="44"/>
        <v>0</v>
      </c>
      <c r="F130" s="696">
        <f t="shared" si="44"/>
        <v>0</v>
      </c>
      <c r="G130" s="696">
        <f t="shared" si="44"/>
        <v>0</v>
      </c>
      <c r="H130" s="696">
        <f t="shared" si="44"/>
        <v>0</v>
      </c>
      <c r="I130" s="696">
        <f t="shared" si="44"/>
        <v>0</v>
      </c>
      <c r="J130" s="696">
        <f t="shared" si="44"/>
        <v>0</v>
      </c>
      <c r="K130" s="696">
        <f t="shared" si="44"/>
        <v>0</v>
      </c>
      <c r="L130" s="696">
        <f t="shared" si="44"/>
        <v>0</v>
      </c>
      <c r="M130" s="696">
        <f t="shared" si="44"/>
        <v>0</v>
      </c>
      <c r="N130" s="696">
        <f t="shared" si="44"/>
        <v>0</v>
      </c>
      <c r="O130" s="702">
        <f t="shared" si="44"/>
        <v>0</v>
      </c>
      <c r="P130" s="513"/>
      <c r="Q130" s="509"/>
    </row>
    <row r="131" spans="3:17" ht="13.8" x14ac:dyDescent="0.25">
      <c r="C131" s="528" t="s">
        <v>404</v>
      </c>
      <c r="D131" s="696">
        <f t="shared" ref="D131:O131" si="45">D31-D64</f>
        <v>0</v>
      </c>
      <c r="E131" s="696">
        <f t="shared" si="45"/>
        <v>0</v>
      </c>
      <c r="F131" s="696">
        <f t="shared" si="45"/>
        <v>0</v>
      </c>
      <c r="G131" s="696">
        <f t="shared" si="45"/>
        <v>0</v>
      </c>
      <c r="H131" s="696">
        <f t="shared" si="45"/>
        <v>0</v>
      </c>
      <c r="I131" s="696">
        <f t="shared" si="45"/>
        <v>0</v>
      </c>
      <c r="J131" s="696">
        <f t="shared" si="45"/>
        <v>0</v>
      </c>
      <c r="K131" s="696">
        <f t="shared" si="45"/>
        <v>0</v>
      </c>
      <c r="L131" s="696">
        <f t="shared" si="45"/>
        <v>0</v>
      </c>
      <c r="M131" s="696">
        <f t="shared" si="45"/>
        <v>0</v>
      </c>
      <c r="N131" s="696">
        <f t="shared" si="45"/>
        <v>0</v>
      </c>
      <c r="O131" s="702">
        <f t="shared" si="45"/>
        <v>0</v>
      </c>
      <c r="P131" s="513"/>
      <c r="Q131" s="509"/>
    </row>
    <row r="132" spans="3:17" ht="13.8" x14ac:dyDescent="0.25">
      <c r="C132" s="528" t="s">
        <v>405</v>
      </c>
      <c r="D132" s="696">
        <f t="shared" ref="D132:O132" si="46">D32-D65</f>
        <v>0</v>
      </c>
      <c r="E132" s="696">
        <f t="shared" si="46"/>
        <v>0</v>
      </c>
      <c r="F132" s="696">
        <f t="shared" si="46"/>
        <v>0</v>
      </c>
      <c r="G132" s="696">
        <f t="shared" si="46"/>
        <v>0</v>
      </c>
      <c r="H132" s="696">
        <f t="shared" si="46"/>
        <v>0</v>
      </c>
      <c r="I132" s="696">
        <f t="shared" si="46"/>
        <v>0</v>
      </c>
      <c r="J132" s="696">
        <f t="shared" si="46"/>
        <v>0</v>
      </c>
      <c r="K132" s="696">
        <f t="shared" si="46"/>
        <v>0</v>
      </c>
      <c r="L132" s="696">
        <f t="shared" si="46"/>
        <v>0</v>
      </c>
      <c r="M132" s="696">
        <f t="shared" si="46"/>
        <v>0</v>
      </c>
      <c r="N132" s="696">
        <f t="shared" si="46"/>
        <v>0</v>
      </c>
      <c r="O132" s="702">
        <f t="shared" si="46"/>
        <v>0</v>
      </c>
      <c r="P132" s="513"/>
      <c r="Q132" s="509"/>
    </row>
    <row r="133" spans="3:17" ht="27.6" x14ac:dyDescent="0.25">
      <c r="C133" s="528" t="s">
        <v>406</v>
      </c>
      <c r="D133" s="706">
        <f t="shared" ref="D133:O133" si="47">D33-D66</f>
        <v>0</v>
      </c>
      <c r="E133" s="706">
        <f t="shared" si="47"/>
        <v>0</v>
      </c>
      <c r="F133" s="706">
        <f t="shared" si="47"/>
        <v>0</v>
      </c>
      <c r="G133" s="706">
        <f t="shared" si="47"/>
        <v>0</v>
      </c>
      <c r="H133" s="706">
        <f t="shared" si="47"/>
        <v>0</v>
      </c>
      <c r="I133" s="706">
        <f t="shared" si="47"/>
        <v>0</v>
      </c>
      <c r="J133" s="706">
        <f t="shared" si="47"/>
        <v>0</v>
      </c>
      <c r="K133" s="706">
        <f t="shared" si="47"/>
        <v>0</v>
      </c>
      <c r="L133" s="706">
        <f t="shared" si="47"/>
        <v>0</v>
      </c>
      <c r="M133" s="706">
        <f t="shared" si="47"/>
        <v>0</v>
      </c>
      <c r="N133" s="706">
        <f t="shared" si="47"/>
        <v>0</v>
      </c>
      <c r="O133" s="707">
        <f t="shared" si="47"/>
        <v>0</v>
      </c>
      <c r="P133" s="513"/>
      <c r="Q133" s="509"/>
    </row>
    <row r="134" spans="3:17" ht="13.8" x14ac:dyDescent="0.25">
      <c r="C134" s="708" t="str">
        <f>C67</f>
        <v>Other Income:</v>
      </c>
      <c r="D134" s="477"/>
      <c r="E134" s="478"/>
      <c r="F134" s="478"/>
      <c r="G134" s="478"/>
      <c r="H134" s="478"/>
      <c r="I134" s="478"/>
      <c r="J134" s="478"/>
      <c r="K134" s="478"/>
      <c r="L134" s="478"/>
      <c r="M134" s="478"/>
      <c r="N134" s="478"/>
      <c r="O134" s="478"/>
      <c r="P134" s="513"/>
      <c r="Q134" s="509"/>
    </row>
    <row r="135" spans="3:17" ht="13.8" x14ac:dyDescent="0.25">
      <c r="C135" s="528" t="s">
        <v>408</v>
      </c>
      <c r="D135" s="696">
        <f t="shared" ref="D135:O135" si="48">D35-D68</f>
        <v>0</v>
      </c>
      <c r="E135" s="696">
        <f t="shared" si="48"/>
        <v>0</v>
      </c>
      <c r="F135" s="696">
        <f t="shared" si="48"/>
        <v>0</v>
      </c>
      <c r="G135" s="696">
        <f t="shared" si="48"/>
        <v>0</v>
      </c>
      <c r="H135" s="696">
        <f t="shared" si="48"/>
        <v>0</v>
      </c>
      <c r="I135" s="696">
        <f t="shared" si="48"/>
        <v>0</v>
      </c>
      <c r="J135" s="696">
        <f t="shared" si="48"/>
        <v>0</v>
      </c>
      <c r="K135" s="696">
        <f t="shared" si="48"/>
        <v>0</v>
      </c>
      <c r="L135" s="696">
        <f t="shared" si="48"/>
        <v>0</v>
      </c>
      <c r="M135" s="696">
        <f t="shared" si="48"/>
        <v>0</v>
      </c>
      <c r="N135" s="696">
        <f t="shared" si="48"/>
        <v>0</v>
      </c>
      <c r="O135" s="702">
        <f t="shared" si="48"/>
        <v>0</v>
      </c>
      <c r="P135" s="513"/>
      <c r="Q135" s="509"/>
    </row>
    <row r="136" spans="3:17" ht="13.8" x14ac:dyDescent="0.25">
      <c r="C136" s="528" t="s">
        <v>409</v>
      </c>
      <c r="D136" s="696">
        <f t="shared" ref="D136:O136" si="49">D36-D69</f>
        <v>0</v>
      </c>
      <c r="E136" s="696">
        <f t="shared" si="49"/>
        <v>120000</v>
      </c>
      <c r="F136" s="696">
        <f t="shared" si="49"/>
        <v>123300</v>
      </c>
      <c r="G136" s="696">
        <f t="shared" si="49"/>
        <v>126690</v>
      </c>
      <c r="H136" s="696">
        <f t="shared" si="49"/>
        <v>130175</v>
      </c>
      <c r="I136" s="696">
        <f t="shared" si="49"/>
        <v>133755</v>
      </c>
      <c r="J136" s="696">
        <f t="shared" si="49"/>
        <v>1633</v>
      </c>
      <c r="K136" s="696">
        <f t="shared" si="49"/>
        <v>1677</v>
      </c>
      <c r="L136" s="696">
        <f t="shared" si="49"/>
        <v>1724</v>
      </c>
      <c r="M136" s="696">
        <f t="shared" si="49"/>
        <v>1771</v>
      </c>
      <c r="N136" s="696">
        <f t="shared" si="49"/>
        <v>1820</v>
      </c>
      <c r="O136" s="702">
        <f t="shared" si="49"/>
        <v>642545</v>
      </c>
      <c r="P136" s="513"/>
      <c r="Q136" s="509"/>
    </row>
    <row r="137" spans="3:17" ht="27.6" x14ac:dyDescent="0.25">
      <c r="C137" s="528" t="s">
        <v>542</v>
      </c>
      <c r="D137" s="696">
        <f t="shared" ref="D137:O137" si="50">D37-D70</f>
        <v>0</v>
      </c>
      <c r="E137" s="696">
        <f t="shared" si="50"/>
        <v>120000</v>
      </c>
      <c r="F137" s="696">
        <f t="shared" si="50"/>
        <v>123300</v>
      </c>
      <c r="G137" s="696">
        <f t="shared" si="50"/>
        <v>126690</v>
      </c>
      <c r="H137" s="696">
        <f t="shared" si="50"/>
        <v>130175</v>
      </c>
      <c r="I137" s="696">
        <f t="shared" si="50"/>
        <v>133755</v>
      </c>
      <c r="J137" s="696">
        <f t="shared" si="50"/>
        <v>1633</v>
      </c>
      <c r="K137" s="696">
        <f t="shared" si="50"/>
        <v>1677</v>
      </c>
      <c r="L137" s="696">
        <f t="shared" si="50"/>
        <v>1724</v>
      </c>
      <c r="M137" s="696">
        <f t="shared" si="50"/>
        <v>1771</v>
      </c>
      <c r="N137" s="696">
        <f t="shared" si="50"/>
        <v>1820</v>
      </c>
      <c r="O137" s="702">
        <f t="shared" si="50"/>
        <v>642545</v>
      </c>
      <c r="P137" s="513"/>
      <c r="Q137" s="509"/>
    </row>
    <row r="138" spans="3:17" ht="13.8" x14ac:dyDescent="0.25">
      <c r="C138" s="211"/>
      <c r="D138" s="174"/>
      <c r="E138" s="174"/>
      <c r="F138" s="174"/>
      <c r="G138" s="174"/>
      <c r="H138" s="174"/>
      <c r="I138" s="174"/>
      <c r="J138" s="174"/>
      <c r="K138" s="174"/>
      <c r="L138" s="400"/>
      <c r="M138" s="174"/>
      <c r="N138" s="400"/>
      <c r="O138" s="400"/>
      <c r="P138" s="513"/>
      <c r="Q138" s="509"/>
    </row>
    <row r="139" spans="3:17" ht="13.8" x14ac:dyDescent="0.25">
      <c r="C139" s="848" t="s">
        <v>362</v>
      </c>
      <c r="D139" s="877"/>
      <c r="E139" s="878"/>
      <c r="F139" s="878"/>
      <c r="G139" s="878"/>
      <c r="H139" s="878"/>
      <c r="I139" s="878"/>
      <c r="J139" s="878"/>
      <c r="K139" s="878"/>
      <c r="L139" s="878"/>
      <c r="M139" s="878"/>
      <c r="N139" s="878"/>
      <c r="O139" s="878"/>
      <c r="P139" s="513"/>
      <c r="Q139" s="509"/>
    </row>
    <row r="140" spans="3:17" ht="13.8" x14ac:dyDescent="0.25">
      <c r="C140" s="491" t="s">
        <v>410</v>
      </c>
      <c r="D140" s="477"/>
      <c r="E140" s="478"/>
      <c r="F140" s="478"/>
      <c r="G140" s="478"/>
      <c r="H140" s="478"/>
      <c r="I140" s="478"/>
      <c r="J140" s="478"/>
      <c r="K140" s="478"/>
      <c r="L140" s="478"/>
      <c r="M140" s="478"/>
      <c r="N140" s="478"/>
      <c r="O140" s="478"/>
      <c r="P140" s="513"/>
      <c r="Q140" s="509"/>
    </row>
    <row r="141" spans="3:17" ht="13.8" x14ac:dyDescent="0.25">
      <c r="C141" s="528" t="s">
        <v>411</v>
      </c>
      <c r="D141" s="696">
        <f t="shared" ref="D141:O141" si="51">D41-D74</f>
        <v>0</v>
      </c>
      <c r="E141" s="696">
        <f t="shared" si="51"/>
        <v>0</v>
      </c>
      <c r="F141" s="696">
        <f t="shared" si="51"/>
        <v>0</v>
      </c>
      <c r="G141" s="696">
        <f t="shared" si="51"/>
        <v>0</v>
      </c>
      <c r="H141" s="696">
        <f t="shared" si="51"/>
        <v>0</v>
      </c>
      <c r="I141" s="696">
        <f t="shared" si="51"/>
        <v>0</v>
      </c>
      <c r="J141" s="696">
        <f t="shared" si="51"/>
        <v>0</v>
      </c>
      <c r="K141" s="696">
        <f t="shared" si="51"/>
        <v>0</v>
      </c>
      <c r="L141" s="696">
        <f t="shared" si="51"/>
        <v>0</v>
      </c>
      <c r="M141" s="696">
        <f t="shared" si="51"/>
        <v>0</v>
      </c>
      <c r="N141" s="696">
        <f t="shared" si="51"/>
        <v>0</v>
      </c>
      <c r="O141" s="702">
        <f t="shared" si="51"/>
        <v>0</v>
      </c>
      <c r="P141" s="513"/>
      <c r="Q141" s="509"/>
    </row>
    <row r="142" spans="3:17" ht="13.8" x14ac:dyDescent="0.25">
      <c r="C142" s="528" t="s">
        <v>544</v>
      </c>
      <c r="D142" s="696">
        <f t="shared" ref="D142:O142" si="52">D42-D75</f>
        <v>0</v>
      </c>
      <c r="E142" s="696">
        <f t="shared" si="52"/>
        <v>0</v>
      </c>
      <c r="F142" s="696">
        <f t="shared" si="52"/>
        <v>0</v>
      </c>
      <c r="G142" s="696">
        <f t="shared" si="52"/>
        <v>0</v>
      </c>
      <c r="H142" s="696">
        <f t="shared" si="52"/>
        <v>0</v>
      </c>
      <c r="I142" s="696">
        <f t="shared" si="52"/>
        <v>0</v>
      </c>
      <c r="J142" s="696">
        <f t="shared" si="52"/>
        <v>0</v>
      </c>
      <c r="K142" s="696">
        <f t="shared" si="52"/>
        <v>0</v>
      </c>
      <c r="L142" s="696">
        <f t="shared" si="52"/>
        <v>0</v>
      </c>
      <c r="M142" s="696">
        <f t="shared" si="52"/>
        <v>0</v>
      </c>
      <c r="N142" s="696">
        <f t="shared" si="52"/>
        <v>0</v>
      </c>
      <c r="O142" s="702">
        <f t="shared" si="52"/>
        <v>0</v>
      </c>
      <c r="P142" s="513"/>
      <c r="Q142" s="509"/>
    </row>
    <row r="143" spans="3:17" ht="13.8" x14ac:dyDescent="0.25">
      <c r="C143" s="528" t="s">
        <v>412</v>
      </c>
      <c r="D143" s="696">
        <f t="shared" ref="D143:O143" si="53">D43-D76</f>
        <v>0</v>
      </c>
      <c r="E143" s="696">
        <f t="shared" si="53"/>
        <v>120000</v>
      </c>
      <c r="F143" s="696">
        <f t="shared" si="53"/>
        <v>123000</v>
      </c>
      <c r="G143" s="696">
        <f t="shared" si="53"/>
        <v>126075</v>
      </c>
      <c r="H143" s="696">
        <f t="shared" si="53"/>
        <v>129227</v>
      </c>
      <c r="I143" s="696">
        <f t="shared" si="53"/>
        <v>132457</v>
      </c>
      <c r="J143" s="696">
        <f t="shared" si="53"/>
        <v>-31</v>
      </c>
      <c r="K143" s="696">
        <f t="shared" si="53"/>
        <v>-31</v>
      </c>
      <c r="L143" s="696">
        <f t="shared" si="53"/>
        <v>-32</v>
      </c>
      <c r="M143" s="696">
        <f t="shared" si="53"/>
        <v>-33</v>
      </c>
      <c r="N143" s="696">
        <f t="shared" si="53"/>
        <v>-34</v>
      </c>
      <c r="O143" s="702">
        <f t="shared" si="53"/>
        <v>630598</v>
      </c>
      <c r="P143" s="513"/>
      <c r="Q143" s="509"/>
    </row>
    <row r="144" spans="3:17" ht="13.8" x14ac:dyDescent="0.25">
      <c r="C144" s="528" t="s">
        <v>413</v>
      </c>
      <c r="D144" s="696">
        <f t="shared" ref="D144:O144" si="54">D44-D77</f>
        <v>0</v>
      </c>
      <c r="E144" s="696">
        <f t="shared" si="54"/>
        <v>0</v>
      </c>
      <c r="F144" s="696">
        <f t="shared" si="54"/>
        <v>0</v>
      </c>
      <c r="G144" s="696">
        <f t="shared" si="54"/>
        <v>0</v>
      </c>
      <c r="H144" s="696">
        <f t="shared" si="54"/>
        <v>0</v>
      </c>
      <c r="I144" s="696">
        <f t="shared" si="54"/>
        <v>0</v>
      </c>
      <c r="J144" s="696">
        <f t="shared" si="54"/>
        <v>0</v>
      </c>
      <c r="K144" s="696">
        <f t="shared" si="54"/>
        <v>0</v>
      </c>
      <c r="L144" s="696">
        <f t="shared" si="54"/>
        <v>0</v>
      </c>
      <c r="M144" s="696">
        <f t="shared" si="54"/>
        <v>0</v>
      </c>
      <c r="N144" s="696">
        <f t="shared" si="54"/>
        <v>0</v>
      </c>
      <c r="O144" s="702">
        <f t="shared" si="54"/>
        <v>0</v>
      </c>
      <c r="P144" s="513"/>
      <c r="Q144" s="509"/>
    </row>
    <row r="145" spans="3:17" ht="13.8" x14ac:dyDescent="0.25">
      <c r="C145" s="528" t="s">
        <v>414</v>
      </c>
      <c r="D145" s="696">
        <f t="shared" ref="D145:O145" si="55">D45-D78</f>
        <v>0</v>
      </c>
      <c r="E145" s="696">
        <f t="shared" si="55"/>
        <v>0</v>
      </c>
      <c r="F145" s="696">
        <f t="shared" si="55"/>
        <v>0</v>
      </c>
      <c r="G145" s="696">
        <f t="shared" si="55"/>
        <v>0</v>
      </c>
      <c r="H145" s="696">
        <f t="shared" si="55"/>
        <v>0</v>
      </c>
      <c r="I145" s="696">
        <f t="shared" si="55"/>
        <v>0</v>
      </c>
      <c r="J145" s="696">
        <f t="shared" si="55"/>
        <v>0</v>
      </c>
      <c r="K145" s="696">
        <f t="shared" si="55"/>
        <v>0</v>
      </c>
      <c r="L145" s="696">
        <f t="shared" si="55"/>
        <v>0</v>
      </c>
      <c r="M145" s="696">
        <f t="shared" si="55"/>
        <v>0</v>
      </c>
      <c r="N145" s="696">
        <f t="shared" si="55"/>
        <v>0</v>
      </c>
      <c r="O145" s="702">
        <f t="shared" si="55"/>
        <v>0</v>
      </c>
      <c r="P145" s="513"/>
      <c r="Q145" s="509"/>
    </row>
    <row r="146" spans="3:17" ht="13.8" x14ac:dyDescent="0.25">
      <c r="C146" s="528" t="s">
        <v>488</v>
      </c>
      <c r="D146" s="696">
        <f t="shared" ref="D146:O146" si="56">D46-D79</f>
        <v>0</v>
      </c>
      <c r="E146" s="696">
        <f t="shared" si="56"/>
        <v>0</v>
      </c>
      <c r="F146" s="696">
        <f t="shared" si="56"/>
        <v>0</v>
      </c>
      <c r="G146" s="696">
        <f t="shared" si="56"/>
        <v>0</v>
      </c>
      <c r="H146" s="696">
        <f t="shared" si="56"/>
        <v>0</v>
      </c>
      <c r="I146" s="696">
        <f t="shared" si="56"/>
        <v>0</v>
      </c>
      <c r="J146" s="696">
        <f t="shared" si="56"/>
        <v>0</v>
      </c>
      <c r="K146" s="696">
        <f t="shared" si="56"/>
        <v>0</v>
      </c>
      <c r="L146" s="696">
        <f t="shared" si="56"/>
        <v>0</v>
      </c>
      <c r="M146" s="696">
        <f t="shared" si="56"/>
        <v>0</v>
      </c>
      <c r="N146" s="696">
        <f t="shared" si="56"/>
        <v>0</v>
      </c>
      <c r="O146" s="702">
        <f t="shared" si="56"/>
        <v>0</v>
      </c>
      <c r="P146" s="513"/>
      <c r="Q146" s="509"/>
    </row>
    <row r="147" spans="3:17" ht="13.8" x14ac:dyDescent="0.25">
      <c r="C147" s="528" t="s">
        <v>415</v>
      </c>
      <c r="D147" s="696">
        <f t="shared" ref="D147:O147" si="57">D47-D80</f>
        <v>0</v>
      </c>
      <c r="E147" s="696">
        <f t="shared" si="57"/>
        <v>120000</v>
      </c>
      <c r="F147" s="696">
        <f t="shared" si="57"/>
        <v>123000</v>
      </c>
      <c r="G147" s="696">
        <f t="shared" si="57"/>
        <v>126075</v>
      </c>
      <c r="H147" s="696">
        <f t="shared" si="57"/>
        <v>129227</v>
      </c>
      <c r="I147" s="696">
        <f t="shared" si="57"/>
        <v>132457</v>
      </c>
      <c r="J147" s="696">
        <f t="shared" si="57"/>
        <v>-31</v>
      </c>
      <c r="K147" s="696">
        <f t="shared" si="57"/>
        <v>-31</v>
      </c>
      <c r="L147" s="696">
        <f t="shared" si="57"/>
        <v>-32</v>
      </c>
      <c r="M147" s="696">
        <f t="shared" si="57"/>
        <v>-33</v>
      </c>
      <c r="N147" s="696">
        <f t="shared" si="57"/>
        <v>-34</v>
      </c>
      <c r="O147" s="702">
        <f t="shared" si="57"/>
        <v>630598</v>
      </c>
      <c r="P147" s="513"/>
      <c r="Q147" s="509"/>
    </row>
    <row r="148" spans="3:17" ht="27.6" x14ac:dyDescent="0.25">
      <c r="C148" s="528" t="s">
        <v>416</v>
      </c>
      <c r="D148" s="696">
        <f t="shared" ref="D148:O148" si="58">D48-D81</f>
        <v>0</v>
      </c>
      <c r="E148" s="696">
        <f t="shared" si="58"/>
        <v>0</v>
      </c>
      <c r="F148" s="696">
        <f t="shared" si="58"/>
        <v>300</v>
      </c>
      <c r="G148" s="696">
        <f t="shared" si="58"/>
        <v>615</v>
      </c>
      <c r="H148" s="696">
        <f t="shared" si="58"/>
        <v>948</v>
      </c>
      <c r="I148" s="696">
        <f t="shared" si="58"/>
        <v>1298</v>
      </c>
      <c r="J148" s="696">
        <f t="shared" si="58"/>
        <v>1664</v>
      </c>
      <c r="K148" s="696">
        <f t="shared" si="58"/>
        <v>1708</v>
      </c>
      <c r="L148" s="696">
        <f t="shared" si="58"/>
        <v>1756</v>
      </c>
      <c r="M148" s="696">
        <f t="shared" si="58"/>
        <v>1804</v>
      </c>
      <c r="N148" s="696">
        <f t="shared" si="58"/>
        <v>1854</v>
      </c>
      <c r="O148" s="702">
        <f t="shared" si="58"/>
        <v>11947</v>
      </c>
      <c r="P148" s="513"/>
      <c r="Q148" s="509"/>
    </row>
    <row r="149" spans="3:17" ht="27.6" x14ac:dyDescent="0.25">
      <c r="C149" s="528" t="s">
        <v>543</v>
      </c>
      <c r="D149" s="696">
        <f t="shared" ref="D149:O149" si="59">D49-D82</f>
        <v>0</v>
      </c>
      <c r="E149" s="696">
        <f t="shared" si="59"/>
        <v>0</v>
      </c>
      <c r="F149" s="696">
        <f t="shared" si="59"/>
        <v>300</v>
      </c>
      <c r="G149" s="696">
        <f t="shared" si="59"/>
        <v>615</v>
      </c>
      <c r="H149" s="696">
        <f t="shared" si="59"/>
        <v>948</v>
      </c>
      <c r="I149" s="696">
        <f t="shared" si="59"/>
        <v>1298</v>
      </c>
      <c r="J149" s="696">
        <f t="shared" si="59"/>
        <v>1664</v>
      </c>
      <c r="K149" s="696">
        <f t="shared" si="59"/>
        <v>1708</v>
      </c>
      <c r="L149" s="696">
        <f t="shared" si="59"/>
        <v>1756</v>
      </c>
      <c r="M149" s="696">
        <f t="shared" si="59"/>
        <v>1804</v>
      </c>
      <c r="N149" s="696">
        <f t="shared" si="59"/>
        <v>1854</v>
      </c>
      <c r="O149" s="702">
        <f t="shared" si="59"/>
        <v>11947</v>
      </c>
      <c r="P149" s="513"/>
      <c r="Q149" s="509"/>
    </row>
    <row r="150" spans="3:17" ht="13.8" x14ac:dyDescent="0.25">
      <c r="C150" s="531"/>
      <c r="D150" s="524"/>
      <c r="E150" s="521"/>
      <c r="F150" s="521"/>
      <c r="G150" s="521"/>
      <c r="H150" s="521"/>
      <c r="I150" s="521"/>
      <c r="J150" s="521"/>
      <c r="K150" s="521"/>
      <c r="L150" s="525"/>
      <c r="M150" s="521"/>
      <c r="N150" s="525"/>
      <c r="O150" s="525"/>
      <c r="P150" s="513"/>
      <c r="Q150" s="509"/>
    </row>
    <row r="151" spans="3:17" ht="13.8" x14ac:dyDescent="0.25">
      <c r="C151" s="528" t="s">
        <v>418</v>
      </c>
      <c r="D151" s="522"/>
      <c r="E151" s="696">
        <f t="shared" ref="E151:O151" si="60">E51-E84</f>
        <v>120000</v>
      </c>
      <c r="F151" s="696">
        <f t="shared" si="60"/>
        <v>3300</v>
      </c>
      <c r="G151" s="696">
        <f t="shared" si="60"/>
        <v>3390</v>
      </c>
      <c r="H151" s="696">
        <f t="shared" si="60"/>
        <v>3485</v>
      </c>
      <c r="I151" s="696">
        <f t="shared" si="60"/>
        <v>3580</v>
      </c>
      <c r="J151" s="696">
        <f t="shared" si="60"/>
        <v>-132122</v>
      </c>
      <c r="K151" s="696">
        <f t="shared" si="60"/>
        <v>44</v>
      </c>
      <c r="L151" s="696">
        <f t="shared" si="60"/>
        <v>47</v>
      </c>
      <c r="M151" s="696">
        <f t="shared" si="60"/>
        <v>47</v>
      </c>
      <c r="N151" s="696">
        <f t="shared" si="60"/>
        <v>49</v>
      </c>
      <c r="O151" s="702">
        <f t="shared" si="60"/>
        <v>1820</v>
      </c>
      <c r="P151" s="513"/>
      <c r="Q151" s="509"/>
    </row>
    <row r="152" spans="3:17" ht="27.6" x14ac:dyDescent="0.25">
      <c r="C152" s="528" t="s">
        <v>547</v>
      </c>
      <c r="D152" s="522"/>
      <c r="E152" s="704">
        <f t="shared" ref="E152:O152" si="61">E52-E85</f>
        <v>3.5038951634567272E-3</v>
      </c>
      <c r="F152" s="704">
        <f t="shared" si="61"/>
        <v>-2.9101300766920524E-4</v>
      </c>
      <c r="G152" s="704">
        <f t="shared" si="61"/>
        <v>1.589780699751131E-6</v>
      </c>
      <c r="H152" s="704">
        <f t="shared" si="61"/>
        <v>1.5297757673948809E-6</v>
      </c>
      <c r="I152" s="704">
        <f t="shared" si="61"/>
        <v>1.4883582655222938E-6</v>
      </c>
      <c r="J152" s="704">
        <f t="shared" si="61"/>
        <v>-3.2083241802265405E-3</v>
      </c>
      <c r="K152" s="704">
        <f t="shared" si="61"/>
        <v>-3.7110057249378769E-9</v>
      </c>
      <c r="L152" s="704">
        <f t="shared" si="61"/>
        <v>3.684048510699256E-8</v>
      </c>
      <c r="M152" s="704">
        <f t="shared" si="61"/>
        <v>1.0033097241901601E-8</v>
      </c>
      <c r="N152" s="704">
        <f t="shared" si="61"/>
        <v>2.4966231082501622E-8</v>
      </c>
      <c r="O152" s="709">
        <f t="shared" si="61"/>
        <v>5.3142409979001215E-5</v>
      </c>
      <c r="P152" s="483"/>
      <c r="Q152" s="485"/>
    </row>
    <row r="154" spans="3:17" ht="12" thickBot="1" x14ac:dyDescent="0.25"/>
    <row r="155" spans="3:17" ht="14.4" thickBot="1" x14ac:dyDescent="0.3">
      <c r="C155" s="488" t="s">
        <v>423</v>
      </c>
      <c r="D155" s="710" t="str">
        <f>D124</f>
        <v>2017-18</v>
      </c>
      <c r="E155" s="710" t="str">
        <f t="shared" ref="E155:N155" si="62">E124</f>
        <v>2018-19</v>
      </c>
      <c r="F155" s="710" t="str">
        <f t="shared" si="62"/>
        <v>2019-20</v>
      </c>
      <c r="G155" s="710" t="str">
        <f t="shared" si="62"/>
        <v>2020-21</v>
      </c>
      <c r="H155" s="710" t="str">
        <f t="shared" si="62"/>
        <v>2021-22</v>
      </c>
      <c r="I155" s="710" t="str">
        <f t="shared" si="62"/>
        <v>2022-23</v>
      </c>
      <c r="J155" s="710" t="str">
        <f t="shared" si="62"/>
        <v>2023-24</v>
      </c>
      <c r="K155" s="710" t="str">
        <f t="shared" si="62"/>
        <v>2024-25</v>
      </c>
      <c r="L155" s="710" t="str">
        <f t="shared" si="62"/>
        <v>2025-26</v>
      </c>
      <c r="M155" s="710" t="str">
        <f t="shared" si="62"/>
        <v>2026-27</v>
      </c>
      <c r="N155" s="710" t="str">
        <f t="shared" si="62"/>
        <v>2027-28</v>
      </c>
      <c r="O155" s="550"/>
    </row>
    <row r="156" spans="3:17" ht="13.8" x14ac:dyDescent="0.25">
      <c r="C156" s="407" t="s">
        <v>443</v>
      </c>
      <c r="D156" s="486"/>
      <c r="E156" s="486"/>
      <c r="F156" s="486"/>
      <c r="G156" s="486"/>
      <c r="H156" s="486"/>
      <c r="I156" s="486"/>
      <c r="J156" s="486"/>
      <c r="K156" s="486"/>
      <c r="L156" s="486"/>
      <c r="M156" s="486"/>
      <c r="N156" s="548"/>
      <c r="O156" s="551"/>
    </row>
    <row r="157" spans="3:17" ht="13.8" x14ac:dyDescent="0.25">
      <c r="C157" s="526" t="s">
        <v>475</v>
      </c>
      <c r="D157" s="514"/>
      <c r="E157" s="512"/>
      <c r="F157" s="512"/>
      <c r="G157" s="512"/>
      <c r="H157" s="512"/>
      <c r="I157" s="512"/>
      <c r="J157" s="512"/>
      <c r="K157" s="512"/>
      <c r="L157" s="512"/>
      <c r="M157" s="512"/>
      <c r="N157" s="512"/>
      <c r="O157" s="551"/>
    </row>
    <row r="158" spans="3:17" ht="13.8" x14ac:dyDescent="0.25">
      <c r="C158" s="527" t="s">
        <v>545</v>
      </c>
      <c r="D158" s="515"/>
      <c r="E158" s="711">
        <f t="shared" ref="E158:N158" si="63">IF(E41=0,"",((E41/D41)-1)*100)</f>
        <v>1.3244755885616355</v>
      </c>
      <c r="F158" s="711">
        <f t="shared" si="63"/>
        <v>2.2806856431256461</v>
      </c>
      <c r="G158" s="711">
        <f t="shared" si="63"/>
        <v>2.2448377930474717</v>
      </c>
      <c r="H158" s="711">
        <f t="shared" si="63"/>
        <v>2.4637348686082694</v>
      </c>
      <c r="I158" s="711">
        <f t="shared" si="63"/>
        <v>2.4042804662578465</v>
      </c>
      <c r="J158" s="711">
        <f t="shared" si="63"/>
        <v>2.4633309017775051</v>
      </c>
      <c r="K158" s="711">
        <f t="shared" si="63"/>
        <v>2.4045176901281495</v>
      </c>
      <c r="L158" s="711">
        <f t="shared" si="63"/>
        <v>2.4444734350342001</v>
      </c>
      <c r="M158" s="711">
        <f t="shared" si="63"/>
        <v>2.3884780446156828</v>
      </c>
      <c r="N158" s="711">
        <f t="shared" si="63"/>
        <v>2.2473436501246002</v>
      </c>
      <c r="O158" s="551"/>
    </row>
    <row r="159" spans="3:17" ht="13.8" x14ac:dyDescent="0.25">
      <c r="C159" s="527" t="s">
        <v>546</v>
      </c>
      <c r="D159" s="515"/>
      <c r="E159" s="711">
        <f t="shared" ref="E159:N159" si="64">IF(E74=0,"",((E74/D74)-1)*100)</f>
        <v>1.3244755885616355</v>
      </c>
      <c r="F159" s="711">
        <f t="shared" si="64"/>
        <v>2.2806856431256461</v>
      </c>
      <c r="G159" s="711">
        <f t="shared" si="64"/>
        <v>2.2448377930474717</v>
      </c>
      <c r="H159" s="711">
        <f t="shared" si="64"/>
        <v>2.4637348686082694</v>
      </c>
      <c r="I159" s="711">
        <f t="shared" si="64"/>
        <v>2.4042804662578465</v>
      </c>
      <c r="J159" s="711">
        <f t="shared" si="64"/>
        <v>2.4633309017775051</v>
      </c>
      <c r="K159" s="711">
        <f t="shared" si="64"/>
        <v>2.4045176901281495</v>
      </c>
      <c r="L159" s="711">
        <f t="shared" si="64"/>
        <v>2.4444734350342001</v>
      </c>
      <c r="M159" s="711">
        <f t="shared" si="64"/>
        <v>2.3884780446156828</v>
      </c>
      <c r="N159" s="711">
        <f t="shared" si="64"/>
        <v>2.2473436501246002</v>
      </c>
      <c r="O159" s="551"/>
    </row>
    <row r="160" spans="3:17" ht="13.8" x14ac:dyDescent="0.25">
      <c r="C160" s="526" t="s">
        <v>422</v>
      </c>
      <c r="D160" s="517"/>
      <c r="E160" s="547"/>
      <c r="F160" s="547"/>
      <c r="G160" s="547"/>
      <c r="H160" s="547"/>
      <c r="I160" s="547"/>
      <c r="J160" s="547"/>
      <c r="K160" s="547"/>
      <c r="L160" s="547"/>
      <c r="M160" s="547"/>
      <c r="N160" s="547"/>
      <c r="O160" s="551"/>
    </row>
    <row r="161" spans="3:15" ht="13.8" x14ac:dyDescent="0.25">
      <c r="C161" s="527" t="s">
        <v>545</v>
      </c>
      <c r="D161" s="517"/>
      <c r="E161" s="23">
        <v>0</v>
      </c>
      <c r="F161" s="23">
        <v>0</v>
      </c>
      <c r="G161" s="23">
        <v>0</v>
      </c>
      <c r="H161" s="23">
        <v>0</v>
      </c>
      <c r="I161" s="23">
        <v>0</v>
      </c>
      <c r="J161" s="23">
        <v>0</v>
      </c>
      <c r="K161" s="23">
        <v>0</v>
      </c>
      <c r="L161" s="23">
        <v>0</v>
      </c>
      <c r="M161" s="23">
        <v>0</v>
      </c>
      <c r="N161" s="23">
        <v>0</v>
      </c>
      <c r="O161" s="551"/>
    </row>
    <row r="162" spans="3:15" ht="13.8" x14ac:dyDescent="0.25">
      <c r="C162" s="527" t="s">
        <v>546</v>
      </c>
      <c r="D162" s="517"/>
      <c r="E162" s="23">
        <v>0</v>
      </c>
      <c r="F162" s="23">
        <v>0</v>
      </c>
      <c r="G162" s="23">
        <v>0</v>
      </c>
      <c r="H162" s="23">
        <v>0</v>
      </c>
      <c r="I162" s="23">
        <v>0</v>
      </c>
      <c r="J162" s="23">
        <v>0</v>
      </c>
      <c r="K162" s="23">
        <v>0</v>
      </c>
      <c r="L162" s="23">
        <v>0</v>
      </c>
      <c r="M162" s="23">
        <v>0</v>
      </c>
      <c r="N162" s="23">
        <v>0</v>
      </c>
      <c r="O162" s="551"/>
    </row>
    <row r="163" spans="3:15" ht="13.8" x14ac:dyDescent="0.25">
      <c r="C163" s="526" t="s">
        <v>541</v>
      </c>
      <c r="D163" s="517"/>
      <c r="E163" s="547"/>
      <c r="F163" s="547"/>
      <c r="G163" s="547"/>
      <c r="H163" s="547"/>
      <c r="I163" s="547"/>
      <c r="J163" s="547"/>
      <c r="K163" s="547"/>
      <c r="L163" s="547"/>
      <c r="M163" s="547"/>
      <c r="N163" s="547"/>
      <c r="O163" s="551"/>
    </row>
    <row r="164" spans="3:15" ht="13.8" x14ac:dyDescent="0.25">
      <c r="C164" s="527" t="s">
        <v>545</v>
      </c>
      <c r="D164" s="517"/>
      <c r="E164" s="23">
        <v>50</v>
      </c>
      <c r="F164" s="23">
        <v>50</v>
      </c>
      <c r="G164" s="23">
        <v>50</v>
      </c>
      <c r="H164" s="23">
        <v>50</v>
      </c>
      <c r="I164" s="23">
        <v>50</v>
      </c>
      <c r="J164" s="23">
        <v>50</v>
      </c>
      <c r="K164" s="23">
        <v>50</v>
      </c>
      <c r="L164" s="23">
        <v>50</v>
      </c>
      <c r="M164" s="23">
        <v>50</v>
      </c>
      <c r="N164" s="23">
        <v>50</v>
      </c>
      <c r="O164" s="551"/>
    </row>
    <row r="165" spans="3:15" ht="13.8" x14ac:dyDescent="0.25">
      <c r="C165" s="527" t="s">
        <v>546</v>
      </c>
      <c r="D165" s="517"/>
      <c r="E165" s="23">
        <v>50</v>
      </c>
      <c r="F165" s="23">
        <v>50</v>
      </c>
      <c r="G165" s="23">
        <v>50</v>
      </c>
      <c r="H165" s="23">
        <v>50</v>
      </c>
      <c r="I165" s="23">
        <v>50</v>
      </c>
      <c r="J165" s="23">
        <v>50</v>
      </c>
      <c r="K165" s="23">
        <v>50</v>
      </c>
      <c r="L165" s="23">
        <v>50</v>
      </c>
      <c r="M165" s="23">
        <v>50</v>
      </c>
      <c r="N165" s="23">
        <v>50</v>
      </c>
      <c r="O165" s="551"/>
    </row>
    <row r="166" spans="3:15" ht="27.6" x14ac:dyDescent="0.25">
      <c r="C166" s="526" t="s">
        <v>548</v>
      </c>
      <c r="D166" s="517"/>
      <c r="E166" s="547"/>
      <c r="F166" s="547"/>
      <c r="G166" s="547"/>
      <c r="H166" s="547"/>
      <c r="I166" s="547"/>
      <c r="J166" s="547"/>
      <c r="K166" s="547"/>
      <c r="L166" s="547"/>
      <c r="M166" s="547"/>
      <c r="N166" s="547"/>
      <c r="O166" s="551"/>
    </row>
    <row r="167" spans="3:15" ht="13.8" x14ac:dyDescent="0.25">
      <c r="C167" s="527" t="s">
        <v>545</v>
      </c>
      <c r="D167" s="517"/>
      <c r="E167" s="23">
        <v>2.2999999999999998</v>
      </c>
      <c r="F167" s="23">
        <v>2.5</v>
      </c>
      <c r="G167" s="23">
        <v>2.5</v>
      </c>
      <c r="H167" s="23">
        <v>2.5</v>
      </c>
      <c r="I167" s="23">
        <v>2.5</v>
      </c>
      <c r="J167" s="23">
        <v>2.5</v>
      </c>
      <c r="K167" s="23">
        <v>2.5</v>
      </c>
      <c r="L167" s="23">
        <v>2.5</v>
      </c>
      <c r="M167" s="549">
        <v>2.5</v>
      </c>
      <c r="N167" s="549">
        <v>2.5</v>
      </c>
      <c r="O167" s="551"/>
    </row>
    <row r="168" spans="3:15" ht="13.8" x14ac:dyDescent="0.25">
      <c r="C168" s="527" t="s">
        <v>546</v>
      </c>
      <c r="D168" s="517"/>
      <c r="E168" s="23">
        <v>2.2999999999999998</v>
      </c>
      <c r="F168" s="23">
        <v>2.5</v>
      </c>
      <c r="G168" s="23">
        <v>2.5</v>
      </c>
      <c r="H168" s="23">
        <v>2.5</v>
      </c>
      <c r="I168" s="23">
        <v>2.5</v>
      </c>
      <c r="J168" s="23">
        <v>2.5</v>
      </c>
      <c r="K168" s="23">
        <v>2.5</v>
      </c>
      <c r="L168" s="23">
        <v>2.5</v>
      </c>
      <c r="M168" s="549">
        <v>2.5</v>
      </c>
      <c r="N168" s="549">
        <v>2.5</v>
      </c>
      <c r="O168" s="551"/>
    </row>
    <row r="169" spans="3:15" ht="13.8" x14ac:dyDescent="0.25">
      <c r="C169" s="526" t="s">
        <v>476</v>
      </c>
      <c r="D169" s="517"/>
      <c r="E169" s="547"/>
      <c r="F169" s="547"/>
      <c r="G169" s="547"/>
      <c r="H169" s="547"/>
      <c r="I169" s="547"/>
      <c r="J169" s="547"/>
      <c r="K169" s="547"/>
      <c r="L169" s="547"/>
      <c r="M169" s="547"/>
      <c r="N169" s="547"/>
      <c r="O169" s="551"/>
    </row>
    <row r="170" spans="3:15" ht="13.8" x14ac:dyDescent="0.25">
      <c r="C170" s="527" t="s">
        <v>545</v>
      </c>
      <c r="D170" s="517"/>
      <c r="E170" s="23">
        <v>0</v>
      </c>
      <c r="F170" s="23">
        <v>0</v>
      </c>
      <c r="G170" s="23">
        <v>0</v>
      </c>
      <c r="H170" s="23">
        <v>900000</v>
      </c>
      <c r="I170" s="23">
        <v>0</v>
      </c>
      <c r="J170" s="23">
        <v>0</v>
      </c>
      <c r="K170" s="23">
        <v>0</v>
      </c>
      <c r="L170" s="23">
        <v>0</v>
      </c>
      <c r="M170" s="23">
        <v>0</v>
      </c>
      <c r="N170" s="23">
        <v>0</v>
      </c>
      <c r="O170" s="551"/>
    </row>
    <row r="171" spans="3:15" ht="13.8" x14ac:dyDescent="0.25">
      <c r="C171" s="527" t="s">
        <v>546</v>
      </c>
      <c r="D171" s="516"/>
      <c r="E171" s="23">
        <v>0</v>
      </c>
      <c r="F171" s="23">
        <v>0</v>
      </c>
      <c r="G171" s="23">
        <v>0</v>
      </c>
      <c r="H171" s="23">
        <v>900000</v>
      </c>
      <c r="I171" s="23">
        <v>0</v>
      </c>
      <c r="J171" s="23">
        <v>0</v>
      </c>
      <c r="K171" s="23">
        <v>0</v>
      </c>
      <c r="L171" s="23">
        <v>0</v>
      </c>
      <c r="M171" s="23">
        <v>0</v>
      </c>
      <c r="N171" s="23">
        <v>0</v>
      </c>
      <c r="O171" s="552"/>
    </row>
  </sheetData>
  <sheetProtection password="CC77" sheet="1"/>
  <mergeCells count="30">
    <mergeCell ref="C139:O139"/>
    <mergeCell ref="E55:O55"/>
    <mergeCell ref="O56:O57"/>
    <mergeCell ref="C58:O58"/>
    <mergeCell ref="C72:O72"/>
    <mergeCell ref="E121:O121"/>
    <mergeCell ref="C125:O125"/>
    <mergeCell ref="E87:O87"/>
    <mergeCell ref="C105:O105"/>
    <mergeCell ref="C39:O39"/>
    <mergeCell ref="E54:O54"/>
    <mergeCell ref="O123:O124"/>
    <mergeCell ref="P21:P24"/>
    <mergeCell ref="Q21:Q24"/>
    <mergeCell ref="P54:P57"/>
    <mergeCell ref="Q54:Q57"/>
    <mergeCell ref="E122:O122"/>
    <mergeCell ref="O23:O24"/>
    <mergeCell ref="C25:O25"/>
    <mergeCell ref="E22:O22"/>
    <mergeCell ref="P87:P90"/>
    <mergeCell ref="Q87:Q90"/>
    <mergeCell ref="E88:O88"/>
    <mergeCell ref="O89:O90"/>
    <mergeCell ref="C91:O91"/>
    <mergeCell ref="C2:G2"/>
    <mergeCell ref="B4:O4"/>
    <mergeCell ref="B8:O8"/>
    <mergeCell ref="C9:O18"/>
    <mergeCell ref="E21:O21"/>
  </mergeCells>
  <dataValidations count="5">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26"/>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83 C150 C50:O50 C116"/>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52"/>
    <dataValidation allowBlank="1" showInputMessage="1" showErrorMessage="1" promptTitle="Sum of total spending" prompt="All individual spending allocations should be summed for each of the 10 years to calculate the council's total proposed spending for each year._x000a_" sqref="C151"/>
    <dataValidation allowBlank="1" showInputMessage="1" showErrorMessage="1" prompt="_x000a_" sqref="C51 C84 C117"/>
  </dataValidations>
  <pageMargins left="0.19685039370078741" right="0.19685039370078741" top="0.19685039370078741" bottom="0.19685039370078741"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2:AT186"/>
  <sheetViews>
    <sheetView workbookViewId="0">
      <selection activeCell="K22" sqref="K22"/>
    </sheetView>
  </sheetViews>
  <sheetFormatPr defaultRowHeight="11.4" outlineLevelRow="1" x14ac:dyDescent="0.2"/>
  <sheetData>
    <row r="2" spans="1:46" ht="19.2" x14ac:dyDescent="0.2">
      <c r="A2" s="615" t="s">
        <v>461</v>
      </c>
    </row>
    <row r="3" spans="1:46" ht="19.2" x14ac:dyDescent="0.2">
      <c r="A3" s="620" t="s">
        <v>748</v>
      </c>
      <c r="B3" s="621"/>
      <c r="C3" s="618" t="s">
        <v>747</v>
      </c>
      <c r="D3" s="404"/>
      <c r="E3" s="404"/>
      <c r="F3" s="404"/>
      <c r="G3" s="404"/>
      <c r="H3" s="622" t="s">
        <v>749</v>
      </c>
      <c r="I3" s="623"/>
      <c r="J3" s="623"/>
      <c r="K3" s="623"/>
      <c r="L3" s="623"/>
    </row>
    <row r="4" spans="1:46" s="179" customFormat="1" ht="7.5" customHeight="1" x14ac:dyDescent="0.2">
      <c r="A4" s="619"/>
    </row>
    <row r="5" spans="1:46" s="179" customFormat="1" ht="19.2" outlineLevel="1" x14ac:dyDescent="0.2">
      <c r="A5" s="619"/>
      <c r="H5" t="s">
        <v>627</v>
      </c>
      <c r="I5" t="str">
        <f>"20"&amp;MID(H5,3,2)+1&amp;"-"&amp;RIGHT(H5,2)+1</f>
        <v>2019-20</v>
      </c>
      <c r="J5" t="str">
        <f t="shared" ref="J5:AT5" si="0">"20"&amp;MID(I5,3,2)+1&amp;"-"&amp;RIGHT(I5,2)+1</f>
        <v>2020-21</v>
      </c>
      <c r="K5" t="str">
        <f t="shared" si="0"/>
        <v>2021-22</v>
      </c>
      <c r="L5" t="str">
        <f t="shared" si="0"/>
        <v>2022-23</v>
      </c>
      <c r="M5" t="str">
        <f t="shared" si="0"/>
        <v>2023-24</v>
      </c>
      <c r="N5" t="str">
        <f t="shared" si="0"/>
        <v>2024-25</v>
      </c>
      <c r="O5" t="str">
        <f t="shared" si="0"/>
        <v>2025-26</v>
      </c>
      <c r="P5" t="str">
        <f t="shared" si="0"/>
        <v>2026-27</v>
      </c>
      <c r="Q5" t="str">
        <f t="shared" si="0"/>
        <v>2027-28</v>
      </c>
      <c r="R5" t="str">
        <f t="shared" si="0"/>
        <v>2028-29</v>
      </c>
      <c r="S5" t="str">
        <f t="shared" si="0"/>
        <v>2029-30</v>
      </c>
      <c r="T5" t="str">
        <f t="shared" si="0"/>
        <v>2030-31</v>
      </c>
      <c r="U5" t="str">
        <f t="shared" si="0"/>
        <v>2031-32</v>
      </c>
      <c r="V5" t="str">
        <f t="shared" si="0"/>
        <v>2032-33</v>
      </c>
      <c r="W5" t="str">
        <f t="shared" si="0"/>
        <v>2033-34</v>
      </c>
      <c r="X5" t="str">
        <f t="shared" si="0"/>
        <v>2034-35</v>
      </c>
      <c r="Y5" t="str">
        <f t="shared" si="0"/>
        <v>2035-36</v>
      </c>
      <c r="Z5" t="str">
        <f t="shared" si="0"/>
        <v>2036-37</v>
      </c>
      <c r="AA5" t="str">
        <f t="shared" si="0"/>
        <v>2037-38</v>
      </c>
      <c r="AB5" t="str">
        <f t="shared" si="0"/>
        <v>2038-39</v>
      </c>
      <c r="AC5" t="str">
        <f t="shared" si="0"/>
        <v>2039-40</v>
      </c>
      <c r="AD5" t="str">
        <f t="shared" si="0"/>
        <v>2040-41</v>
      </c>
      <c r="AE5" t="str">
        <f t="shared" si="0"/>
        <v>2041-42</v>
      </c>
      <c r="AF5" t="str">
        <f t="shared" si="0"/>
        <v>2042-43</v>
      </c>
      <c r="AG5" t="str">
        <f t="shared" si="0"/>
        <v>2043-44</v>
      </c>
      <c r="AH5" t="str">
        <f t="shared" si="0"/>
        <v>2044-45</v>
      </c>
      <c r="AI5" t="str">
        <f t="shared" si="0"/>
        <v>2045-46</v>
      </c>
      <c r="AJ5" t="str">
        <f t="shared" si="0"/>
        <v>2046-47</v>
      </c>
      <c r="AK5" t="str">
        <f t="shared" si="0"/>
        <v>2047-48</v>
      </c>
      <c r="AL5" t="str">
        <f t="shared" si="0"/>
        <v>2048-49</v>
      </c>
      <c r="AM5" t="str">
        <f t="shared" si="0"/>
        <v>2049-50</v>
      </c>
      <c r="AN5" t="str">
        <f t="shared" si="0"/>
        <v>2050-51</v>
      </c>
      <c r="AO5" t="str">
        <f t="shared" si="0"/>
        <v>2051-52</v>
      </c>
      <c r="AP5" t="str">
        <f t="shared" si="0"/>
        <v>2052-53</v>
      </c>
      <c r="AQ5" t="str">
        <f t="shared" si="0"/>
        <v>2053-54</v>
      </c>
      <c r="AR5" t="str">
        <f t="shared" si="0"/>
        <v>2054-55</v>
      </c>
      <c r="AS5" t="str">
        <f t="shared" si="0"/>
        <v>2055-56</v>
      </c>
      <c r="AT5" t="str">
        <f t="shared" si="0"/>
        <v>2056-57</v>
      </c>
    </row>
    <row r="6" spans="1:46" x14ac:dyDescent="0.2">
      <c r="C6" t="s">
        <v>733</v>
      </c>
      <c r="E6" s="404" t="s">
        <v>627</v>
      </c>
    </row>
    <row r="7" spans="1:46" x14ac:dyDescent="0.2">
      <c r="C7" t="s">
        <v>734</v>
      </c>
      <c r="E7" s="405">
        <v>2.3E-2</v>
      </c>
    </row>
    <row r="9" spans="1:46" x14ac:dyDescent="0.2">
      <c r="C9" t="s">
        <v>737</v>
      </c>
    </row>
    <row r="10" spans="1:46" x14ac:dyDescent="0.2">
      <c r="C10" t="s">
        <v>743</v>
      </c>
      <c r="E10" s="404" t="s">
        <v>745</v>
      </c>
    </row>
    <row r="11" spans="1:46" x14ac:dyDescent="0.2">
      <c r="C11" t="s">
        <v>744</v>
      </c>
      <c r="E11" s="404" t="s">
        <v>746</v>
      </c>
    </row>
    <row r="12" spans="1:46" x14ac:dyDescent="0.2">
      <c r="C12" t="s">
        <v>738</v>
      </c>
      <c r="E12" s="617" t="s">
        <v>741</v>
      </c>
    </row>
    <row r="13" spans="1:46" x14ac:dyDescent="0.2">
      <c r="C13" t="s">
        <v>739</v>
      </c>
      <c r="E13" s="404" t="s">
        <v>742</v>
      </c>
    </row>
    <row r="15" spans="1:46" x14ac:dyDescent="0.2">
      <c r="C15" t="s">
        <v>740</v>
      </c>
    </row>
    <row r="16" spans="1:46" x14ac:dyDescent="0.2">
      <c r="C16" t="s">
        <v>743</v>
      </c>
      <c r="E16" s="404" t="s">
        <v>774</v>
      </c>
    </row>
    <row r="17" spans="1:8" x14ac:dyDescent="0.2">
      <c r="C17" t="s">
        <v>744</v>
      </c>
      <c r="E17" s="404" t="s">
        <v>775</v>
      </c>
    </row>
    <row r="18" spans="1:8" x14ac:dyDescent="0.2">
      <c r="C18" t="s">
        <v>738</v>
      </c>
      <c r="E18" s="617" t="s">
        <v>777</v>
      </c>
    </row>
    <row r="19" spans="1:8" x14ac:dyDescent="0.2">
      <c r="C19" t="s">
        <v>739</v>
      </c>
      <c r="E19" s="404" t="s">
        <v>776</v>
      </c>
    </row>
    <row r="21" spans="1:8" x14ac:dyDescent="0.2">
      <c r="F21" t="s">
        <v>735</v>
      </c>
      <c r="H21" t="s">
        <v>770</v>
      </c>
    </row>
    <row r="23" spans="1:8" ht="12" x14ac:dyDescent="0.25">
      <c r="B23">
        <v>0</v>
      </c>
      <c r="C23" t="str">
        <f>"Y "&amp;B23</f>
        <v>Y 0</v>
      </c>
      <c r="D23" s="162" t="str">
        <f t="shared" ref="D23:D30" si="1">"Year "&amp;B23</f>
        <v>Year 0</v>
      </c>
      <c r="E23" s="616" t="str">
        <f t="shared" ref="E23:E30" si="2">"20"&amp;MID($E$6,3,2)+B23-1&amp;"-"&amp;RIGHT($E$6,2)+B23-1</f>
        <v>2017-18</v>
      </c>
      <c r="F23" t="str">
        <f>""</f>
        <v/>
      </c>
      <c r="H23" s="616" t="str">
        <f t="shared" ref="H23:H30" si="3">LEFT(E23,4)</f>
        <v>2017</v>
      </c>
    </row>
    <row r="24" spans="1:8" ht="12" x14ac:dyDescent="0.25">
      <c r="B24">
        <v>1</v>
      </c>
      <c r="C24" t="str">
        <f t="shared" ref="C24:C30" si="4">"Y "&amp;B24</f>
        <v>Y 1</v>
      </c>
      <c r="D24" s="162" t="str">
        <f t="shared" si="1"/>
        <v>Year 1</v>
      </c>
      <c r="E24" s="616" t="str">
        <f t="shared" si="2"/>
        <v>2018-19</v>
      </c>
      <c r="F24" s="408">
        <f>$E$7</f>
        <v>2.3E-2</v>
      </c>
      <c r="H24" s="616" t="str">
        <f t="shared" si="3"/>
        <v>2018</v>
      </c>
    </row>
    <row r="25" spans="1:8" ht="12" x14ac:dyDescent="0.25">
      <c r="B25">
        <v>2</v>
      </c>
      <c r="C25" t="str">
        <f t="shared" si="4"/>
        <v>Y 2</v>
      </c>
      <c r="D25" s="162" t="str">
        <f t="shared" si="1"/>
        <v>Year 2</v>
      </c>
      <c r="E25" s="616" t="str">
        <f t="shared" si="2"/>
        <v>2019-20</v>
      </c>
      <c r="F25" s="408">
        <v>2.5000000000000001E-2</v>
      </c>
      <c r="H25" s="616" t="str">
        <f t="shared" si="3"/>
        <v>2019</v>
      </c>
    </row>
    <row r="26" spans="1:8" ht="12" x14ac:dyDescent="0.25">
      <c r="B26">
        <v>3</v>
      </c>
      <c r="C26" t="str">
        <f t="shared" si="4"/>
        <v>Y 3</v>
      </c>
      <c r="D26" s="162" t="str">
        <f t="shared" si="1"/>
        <v>Year 3</v>
      </c>
      <c r="E26" s="616" t="str">
        <f t="shared" si="2"/>
        <v>2020-21</v>
      </c>
      <c r="F26" s="408">
        <v>2.5000000000000001E-2</v>
      </c>
      <c r="H26" s="616" t="str">
        <f t="shared" si="3"/>
        <v>2020</v>
      </c>
    </row>
    <row r="27" spans="1:8" ht="12" x14ac:dyDescent="0.25">
      <c r="B27">
        <v>4</v>
      </c>
      <c r="C27" t="str">
        <f t="shared" si="4"/>
        <v>Y 4</v>
      </c>
      <c r="D27" s="162" t="str">
        <f t="shared" si="1"/>
        <v>Year 4</v>
      </c>
      <c r="E27" s="616" t="str">
        <f t="shared" si="2"/>
        <v>2021-22</v>
      </c>
      <c r="F27" s="408">
        <v>2.5000000000000001E-2</v>
      </c>
      <c r="H27" s="616" t="str">
        <f t="shared" si="3"/>
        <v>2021</v>
      </c>
    </row>
    <row r="28" spans="1:8" ht="12" x14ac:dyDescent="0.25">
      <c r="B28">
        <v>5</v>
      </c>
      <c r="C28" t="str">
        <f t="shared" si="4"/>
        <v>Y 5</v>
      </c>
      <c r="D28" s="162" t="str">
        <f t="shared" si="1"/>
        <v>Year 5</v>
      </c>
      <c r="E28" s="616" t="str">
        <f t="shared" si="2"/>
        <v>2022-23</v>
      </c>
      <c r="F28" s="408">
        <v>2.5000000000000001E-2</v>
      </c>
      <c r="H28" s="616" t="str">
        <f t="shared" si="3"/>
        <v>2022</v>
      </c>
    </row>
    <row r="29" spans="1:8" ht="12" x14ac:dyDescent="0.25">
      <c r="B29">
        <v>6</v>
      </c>
      <c r="C29" t="str">
        <f t="shared" si="4"/>
        <v>Y 6</v>
      </c>
      <c r="D29" s="162" t="str">
        <f t="shared" si="1"/>
        <v>Year 6</v>
      </c>
      <c r="E29" s="616" t="str">
        <f t="shared" si="2"/>
        <v>2023-24</v>
      </c>
      <c r="F29" s="408">
        <v>2.5000000000000001E-2</v>
      </c>
      <c r="H29" s="616" t="str">
        <f t="shared" si="3"/>
        <v>2023</v>
      </c>
    </row>
    <row r="30" spans="1:8" ht="12" x14ac:dyDescent="0.25">
      <c r="B30">
        <v>7</v>
      </c>
      <c r="C30" t="str">
        <f t="shared" si="4"/>
        <v>Y 7</v>
      </c>
      <c r="D30" s="162" t="str">
        <f t="shared" si="1"/>
        <v>Year 7</v>
      </c>
      <c r="E30" s="616" t="str">
        <f t="shared" si="2"/>
        <v>2024-25</v>
      </c>
      <c r="F30" s="408">
        <v>2.5000000000000001E-2</v>
      </c>
      <c r="H30" s="616" t="str">
        <f t="shared" si="3"/>
        <v>2024</v>
      </c>
    </row>
    <row r="32" spans="1:8" ht="19.2" x14ac:dyDescent="0.25">
      <c r="A32" s="620"/>
      <c r="B32" s="621"/>
      <c r="C32" s="624" t="s">
        <v>70</v>
      </c>
    </row>
    <row r="33" spans="3:3" ht="13.2" x14ac:dyDescent="0.25">
      <c r="C33" s="625" t="s">
        <v>73</v>
      </c>
    </row>
    <row r="34" spans="3:3" ht="13.2" x14ac:dyDescent="0.25">
      <c r="C34" s="625" t="s">
        <v>74</v>
      </c>
    </row>
    <row r="35" spans="3:3" ht="13.2" x14ac:dyDescent="0.25">
      <c r="C35" s="625" t="s">
        <v>77</v>
      </c>
    </row>
    <row r="36" spans="3:3" ht="13.2" x14ac:dyDescent="0.25">
      <c r="C36" s="625" t="s">
        <v>78</v>
      </c>
    </row>
    <row r="37" spans="3:3" ht="13.2" x14ac:dyDescent="0.25">
      <c r="C37" s="625" t="s">
        <v>79</v>
      </c>
    </row>
    <row r="38" spans="3:3" ht="13.2" x14ac:dyDescent="0.25">
      <c r="C38" s="625" t="s">
        <v>750</v>
      </c>
    </row>
    <row r="39" spans="3:3" ht="13.2" x14ac:dyDescent="0.25">
      <c r="C39" s="625" t="s">
        <v>80</v>
      </c>
    </row>
    <row r="40" spans="3:3" ht="13.2" x14ac:dyDescent="0.25">
      <c r="C40" s="625" t="s">
        <v>81</v>
      </c>
    </row>
    <row r="41" spans="3:3" ht="13.2" x14ac:dyDescent="0.25">
      <c r="C41" s="625" t="s">
        <v>82</v>
      </c>
    </row>
    <row r="42" spans="3:3" ht="13.2" x14ac:dyDescent="0.25">
      <c r="C42" s="625" t="s">
        <v>83</v>
      </c>
    </row>
    <row r="43" spans="3:3" ht="13.2" x14ac:dyDescent="0.25">
      <c r="C43" s="625" t="s">
        <v>84</v>
      </c>
    </row>
    <row r="44" spans="3:3" ht="13.2" x14ac:dyDescent="0.25">
      <c r="C44" s="625" t="s">
        <v>85</v>
      </c>
    </row>
    <row r="45" spans="3:3" ht="13.2" x14ac:dyDescent="0.25">
      <c r="C45" s="625" t="s">
        <v>86</v>
      </c>
    </row>
    <row r="46" spans="3:3" ht="13.2" x14ac:dyDescent="0.25">
      <c r="C46" s="625" t="s">
        <v>87</v>
      </c>
    </row>
    <row r="47" spans="3:3" ht="13.2" x14ac:dyDescent="0.25">
      <c r="C47" s="625" t="s">
        <v>88</v>
      </c>
    </row>
    <row r="48" spans="3:3" ht="13.2" x14ac:dyDescent="0.25">
      <c r="C48" s="625" t="s">
        <v>89</v>
      </c>
    </row>
    <row r="49" spans="3:3" ht="13.2" x14ac:dyDescent="0.25">
      <c r="C49" s="625" t="s">
        <v>90</v>
      </c>
    </row>
    <row r="50" spans="3:3" ht="13.2" x14ac:dyDescent="0.25">
      <c r="C50" s="625" t="s">
        <v>91</v>
      </c>
    </row>
    <row r="51" spans="3:3" ht="13.2" x14ac:dyDescent="0.25">
      <c r="C51" s="625" t="s">
        <v>92</v>
      </c>
    </row>
    <row r="52" spans="3:3" ht="13.2" x14ac:dyDescent="0.25">
      <c r="C52" s="625" t="s">
        <v>93</v>
      </c>
    </row>
    <row r="53" spans="3:3" ht="13.2" x14ac:dyDescent="0.25">
      <c r="C53" s="625" t="s">
        <v>94</v>
      </c>
    </row>
    <row r="54" spans="3:3" ht="13.2" x14ac:dyDescent="0.25">
      <c r="C54" s="625" t="s">
        <v>95</v>
      </c>
    </row>
    <row r="55" spans="3:3" ht="13.2" x14ac:dyDescent="0.25">
      <c r="C55" s="625" t="s">
        <v>751</v>
      </c>
    </row>
    <row r="56" spans="3:3" ht="13.2" x14ac:dyDescent="0.25">
      <c r="C56" s="625" t="s">
        <v>96</v>
      </c>
    </row>
    <row r="57" spans="3:3" ht="13.2" x14ac:dyDescent="0.25">
      <c r="C57" s="625" t="s">
        <v>752</v>
      </c>
    </row>
    <row r="58" spans="3:3" ht="13.2" x14ac:dyDescent="0.25">
      <c r="C58" s="625" t="s">
        <v>97</v>
      </c>
    </row>
    <row r="59" spans="3:3" ht="13.2" x14ac:dyDescent="0.25">
      <c r="C59" s="625" t="s">
        <v>98</v>
      </c>
    </row>
    <row r="60" spans="3:3" ht="13.2" x14ac:dyDescent="0.25">
      <c r="C60" s="625" t="s">
        <v>753</v>
      </c>
    </row>
    <row r="61" spans="3:3" ht="13.2" x14ac:dyDescent="0.25">
      <c r="C61" s="625" t="s">
        <v>754</v>
      </c>
    </row>
    <row r="62" spans="3:3" ht="13.2" x14ac:dyDescent="0.25">
      <c r="C62" s="625" t="s">
        <v>755</v>
      </c>
    </row>
    <row r="63" spans="3:3" ht="13.2" x14ac:dyDescent="0.25">
      <c r="C63" s="625" t="s">
        <v>756</v>
      </c>
    </row>
    <row r="64" spans="3:3" ht="13.2" x14ac:dyDescent="0.25">
      <c r="C64" s="625" t="s">
        <v>99</v>
      </c>
    </row>
    <row r="65" spans="3:3" ht="13.2" x14ac:dyDescent="0.25">
      <c r="C65" s="625" t="s">
        <v>100</v>
      </c>
    </row>
    <row r="66" spans="3:3" ht="13.2" x14ac:dyDescent="0.25">
      <c r="C66" s="625" t="s">
        <v>101</v>
      </c>
    </row>
    <row r="67" spans="3:3" ht="13.2" x14ac:dyDescent="0.25">
      <c r="C67" s="625" t="s">
        <v>102</v>
      </c>
    </row>
    <row r="68" spans="3:3" ht="13.2" x14ac:dyDescent="0.25">
      <c r="C68" s="625" t="s">
        <v>103</v>
      </c>
    </row>
    <row r="69" spans="3:3" ht="13.2" x14ac:dyDescent="0.25">
      <c r="C69" s="625" t="s">
        <v>757</v>
      </c>
    </row>
    <row r="70" spans="3:3" ht="13.2" x14ac:dyDescent="0.25">
      <c r="C70" s="625" t="s">
        <v>104</v>
      </c>
    </row>
    <row r="71" spans="3:3" ht="13.2" x14ac:dyDescent="0.25">
      <c r="C71" s="625" t="s">
        <v>105</v>
      </c>
    </row>
    <row r="72" spans="3:3" ht="13.2" x14ac:dyDescent="0.25">
      <c r="C72" s="625" t="s">
        <v>758</v>
      </c>
    </row>
    <row r="73" spans="3:3" ht="13.2" x14ac:dyDescent="0.25">
      <c r="C73" s="625" t="s">
        <v>759</v>
      </c>
    </row>
    <row r="74" spans="3:3" ht="13.2" x14ac:dyDescent="0.25">
      <c r="C74" s="625" t="s">
        <v>106</v>
      </c>
    </row>
    <row r="75" spans="3:3" ht="13.2" x14ac:dyDescent="0.25">
      <c r="C75" s="625" t="s">
        <v>760</v>
      </c>
    </row>
    <row r="76" spans="3:3" ht="13.2" x14ac:dyDescent="0.25">
      <c r="C76" s="625" t="s">
        <v>107</v>
      </c>
    </row>
    <row r="77" spans="3:3" ht="13.2" x14ac:dyDescent="0.25">
      <c r="C77" s="625" t="s">
        <v>108</v>
      </c>
    </row>
    <row r="78" spans="3:3" ht="13.2" x14ac:dyDescent="0.25">
      <c r="C78" s="625" t="s">
        <v>761</v>
      </c>
    </row>
    <row r="79" spans="3:3" ht="13.2" x14ac:dyDescent="0.25">
      <c r="C79" s="625" t="s">
        <v>109</v>
      </c>
    </row>
    <row r="80" spans="3:3" ht="13.2" x14ac:dyDescent="0.25">
      <c r="C80" s="625" t="s">
        <v>762</v>
      </c>
    </row>
    <row r="81" spans="3:3" ht="13.2" x14ac:dyDescent="0.25">
      <c r="C81" s="625" t="s">
        <v>110</v>
      </c>
    </row>
    <row r="82" spans="3:3" ht="13.2" x14ac:dyDescent="0.25">
      <c r="C82" s="625" t="s">
        <v>111</v>
      </c>
    </row>
    <row r="83" spans="3:3" ht="13.2" x14ac:dyDescent="0.25">
      <c r="C83" s="625" t="s">
        <v>112</v>
      </c>
    </row>
    <row r="84" spans="3:3" ht="13.2" x14ac:dyDescent="0.25">
      <c r="C84" s="625" t="s">
        <v>113</v>
      </c>
    </row>
    <row r="85" spans="3:3" ht="13.2" x14ac:dyDescent="0.25">
      <c r="C85" s="625" t="s">
        <v>114</v>
      </c>
    </row>
    <row r="86" spans="3:3" ht="13.2" x14ac:dyDescent="0.25">
      <c r="C86" s="625" t="s">
        <v>115</v>
      </c>
    </row>
    <row r="87" spans="3:3" ht="13.2" x14ac:dyDescent="0.25">
      <c r="C87" s="625" t="s">
        <v>116</v>
      </c>
    </row>
    <row r="88" spans="3:3" ht="13.2" x14ac:dyDescent="0.25">
      <c r="C88" s="625" t="s">
        <v>117</v>
      </c>
    </row>
    <row r="89" spans="3:3" ht="13.2" x14ac:dyDescent="0.25">
      <c r="C89" s="625" t="s">
        <v>118</v>
      </c>
    </row>
    <row r="90" spans="3:3" ht="13.2" x14ac:dyDescent="0.25">
      <c r="C90" s="625" t="s">
        <v>19</v>
      </c>
    </row>
    <row r="91" spans="3:3" ht="13.2" x14ac:dyDescent="0.25">
      <c r="C91" s="625" t="s">
        <v>763</v>
      </c>
    </row>
    <row r="92" spans="3:3" ht="13.2" x14ac:dyDescent="0.25">
      <c r="C92" s="625" t="s">
        <v>119</v>
      </c>
    </row>
    <row r="93" spans="3:3" ht="13.2" x14ac:dyDescent="0.25">
      <c r="C93" s="625" t="s">
        <v>120</v>
      </c>
    </row>
    <row r="94" spans="3:3" ht="13.2" x14ac:dyDescent="0.25">
      <c r="C94" s="625" t="s">
        <v>121</v>
      </c>
    </row>
    <row r="95" spans="3:3" ht="13.2" x14ac:dyDescent="0.25">
      <c r="C95" s="625" t="s">
        <v>764</v>
      </c>
    </row>
    <row r="96" spans="3:3" ht="13.2" x14ac:dyDescent="0.25">
      <c r="C96" s="625" t="s">
        <v>122</v>
      </c>
    </row>
    <row r="97" spans="3:3" ht="13.2" x14ac:dyDescent="0.25">
      <c r="C97" s="625" t="s">
        <v>123</v>
      </c>
    </row>
    <row r="98" spans="3:3" ht="13.2" x14ac:dyDescent="0.25">
      <c r="C98" s="625" t="s">
        <v>124</v>
      </c>
    </row>
    <row r="99" spans="3:3" ht="13.2" x14ac:dyDescent="0.25">
      <c r="C99" s="625" t="s">
        <v>125</v>
      </c>
    </row>
    <row r="100" spans="3:3" ht="13.2" x14ac:dyDescent="0.25">
      <c r="C100" s="625" t="s">
        <v>126</v>
      </c>
    </row>
    <row r="101" spans="3:3" ht="13.2" x14ac:dyDescent="0.25">
      <c r="C101" s="625" t="s">
        <v>127</v>
      </c>
    </row>
    <row r="102" spans="3:3" ht="13.2" x14ac:dyDescent="0.25">
      <c r="C102" s="625" t="s">
        <v>128</v>
      </c>
    </row>
    <row r="103" spans="3:3" ht="13.2" x14ac:dyDescent="0.25">
      <c r="C103" s="625" t="s">
        <v>129</v>
      </c>
    </row>
    <row r="104" spans="3:3" ht="13.2" x14ac:dyDescent="0.25">
      <c r="C104" s="625" t="s">
        <v>130</v>
      </c>
    </row>
    <row r="105" spans="3:3" ht="13.2" x14ac:dyDescent="0.25">
      <c r="C105" s="625" t="s">
        <v>131</v>
      </c>
    </row>
    <row r="106" spans="3:3" ht="13.2" x14ac:dyDescent="0.25">
      <c r="C106" s="625" t="s">
        <v>132</v>
      </c>
    </row>
    <row r="107" spans="3:3" ht="13.2" x14ac:dyDescent="0.25">
      <c r="C107" s="625" t="s">
        <v>133</v>
      </c>
    </row>
    <row r="108" spans="3:3" ht="13.2" x14ac:dyDescent="0.25">
      <c r="C108" s="625" t="s">
        <v>134</v>
      </c>
    </row>
    <row r="109" spans="3:3" ht="13.2" x14ac:dyDescent="0.25">
      <c r="C109" s="625" t="s">
        <v>135</v>
      </c>
    </row>
    <row r="110" spans="3:3" ht="13.2" x14ac:dyDescent="0.25">
      <c r="C110" s="625" t="s">
        <v>136</v>
      </c>
    </row>
    <row r="111" spans="3:3" ht="13.2" x14ac:dyDescent="0.25">
      <c r="C111" s="625" t="s">
        <v>137</v>
      </c>
    </row>
    <row r="112" spans="3:3" ht="13.2" x14ac:dyDescent="0.25">
      <c r="C112" s="625" t="s">
        <v>732</v>
      </c>
    </row>
    <row r="113" spans="3:3" ht="13.2" x14ac:dyDescent="0.25">
      <c r="C113" s="625" t="s">
        <v>138</v>
      </c>
    </row>
    <row r="114" spans="3:3" ht="13.2" x14ac:dyDescent="0.25">
      <c r="C114" s="625" t="s">
        <v>139</v>
      </c>
    </row>
    <row r="115" spans="3:3" ht="13.2" x14ac:dyDescent="0.25">
      <c r="C115" s="625" t="s">
        <v>140</v>
      </c>
    </row>
    <row r="116" spans="3:3" ht="13.2" x14ac:dyDescent="0.25">
      <c r="C116" s="625" t="s">
        <v>765</v>
      </c>
    </row>
    <row r="117" spans="3:3" ht="13.2" x14ac:dyDescent="0.25">
      <c r="C117" s="625" t="s">
        <v>141</v>
      </c>
    </row>
    <row r="118" spans="3:3" ht="13.2" x14ac:dyDescent="0.25">
      <c r="C118" s="625" t="s">
        <v>142</v>
      </c>
    </row>
    <row r="119" spans="3:3" ht="13.2" x14ac:dyDescent="0.25">
      <c r="C119" s="625" t="s">
        <v>143</v>
      </c>
    </row>
    <row r="120" spans="3:3" ht="13.2" x14ac:dyDescent="0.25">
      <c r="C120" s="625" t="s">
        <v>144</v>
      </c>
    </row>
    <row r="121" spans="3:3" ht="13.2" x14ac:dyDescent="0.25">
      <c r="C121" s="625" t="s">
        <v>145</v>
      </c>
    </row>
    <row r="122" spans="3:3" ht="13.2" x14ac:dyDescent="0.25">
      <c r="C122" s="625" t="s">
        <v>146</v>
      </c>
    </row>
    <row r="123" spans="3:3" ht="13.2" x14ac:dyDescent="0.25">
      <c r="C123" s="625" t="s">
        <v>147</v>
      </c>
    </row>
    <row r="124" spans="3:3" ht="13.2" x14ac:dyDescent="0.25">
      <c r="C124" s="625" t="s">
        <v>766</v>
      </c>
    </row>
    <row r="125" spans="3:3" ht="13.2" x14ac:dyDescent="0.25">
      <c r="C125" s="625" t="s">
        <v>148</v>
      </c>
    </row>
    <row r="126" spans="3:3" ht="13.2" x14ac:dyDescent="0.25">
      <c r="C126" s="625" t="s">
        <v>149</v>
      </c>
    </row>
    <row r="127" spans="3:3" ht="13.2" x14ac:dyDescent="0.25">
      <c r="C127" s="625" t="s">
        <v>150</v>
      </c>
    </row>
    <row r="128" spans="3:3" ht="13.2" x14ac:dyDescent="0.25">
      <c r="C128" s="625" t="s">
        <v>151</v>
      </c>
    </row>
    <row r="129" spans="3:3" ht="13.2" x14ac:dyDescent="0.25">
      <c r="C129" s="625" t="s">
        <v>152</v>
      </c>
    </row>
    <row r="130" spans="3:3" ht="13.2" x14ac:dyDescent="0.25">
      <c r="C130" s="625" t="s">
        <v>153</v>
      </c>
    </row>
    <row r="131" spans="3:3" ht="13.2" x14ac:dyDescent="0.25">
      <c r="C131" s="625" t="s">
        <v>154</v>
      </c>
    </row>
    <row r="132" spans="3:3" ht="13.2" x14ac:dyDescent="0.25">
      <c r="C132" s="625" t="s">
        <v>155</v>
      </c>
    </row>
    <row r="133" spans="3:3" ht="13.2" x14ac:dyDescent="0.25">
      <c r="C133" s="625" t="s">
        <v>767</v>
      </c>
    </row>
    <row r="134" spans="3:3" ht="13.2" x14ac:dyDescent="0.25">
      <c r="C134" s="625" t="s">
        <v>156</v>
      </c>
    </row>
    <row r="135" spans="3:3" ht="13.2" x14ac:dyDescent="0.25">
      <c r="C135" s="625" t="s">
        <v>157</v>
      </c>
    </row>
    <row r="136" spans="3:3" ht="13.2" x14ac:dyDescent="0.25">
      <c r="C136" s="625" t="s">
        <v>158</v>
      </c>
    </row>
    <row r="137" spans="3:3" ht="13.2" x14ac:dyDescent="0.25">
      <c r="C137" s="625" t="s">
        <v>159</v>
      </c>
    </row>
    <row r="138" spans="3:3" ht="13.2" x14ac:dyDescent="0.25">
      <c r="C138" s="625" t="s">
        <v>160</v>
      </c>
    </row>
    <row r="139" spans="3:3" ht="13.2" x14ac:dyDescent="0.25">
      <c r="C139" s="625" t="s">
        <v>161</v>
      </c>
    </row>
    <row r="140" spans="3:3" ht="13.2" x14ac:dyDescent="0.25">
      <c r="C140" s="625" t="s">
        <v>162</v>
      </c>
    </row>
    <row r="141" spans="3:3" ht="13.2" x14ac:dyDescent="0.25">
      <c r="C141" s="625" t="s">
        <v>768</v>
      </c>
    </row>
    <row r="142" spans="3:3" ht="13.2" x14ac:dyDescent="0.25">
      <c r="C142" s="625" t="s">
        <v>769</v>
      </c>
    </row>
    <row r="143" spans="3:3" ht="13.2" x14ac:dyDescent="0.25">
      <c r="C143" s="625" t="s">
        <v>163</v>
      </c>
    </row>
    <row r="144" spans="3:3" ht="13.2" x14ac:dyDescent="0.25">
      <c r="C144" s="625" t="s">
        <v>164</v>
      </c>
    </row>
    <row r="145" spans="3:3" ht="13.2" x14ac:dyDescent="0.25">
      <c r="C145" s="625" t="s">
        <v>165</v>
      </c>
    </row>
    <row r="146" spans="3:3" ht="13.2" x14ac:dyDescent="0.25">
      <c r="C146" s="625" t="s">
        <v>166</v>
      </c>
    </row>
    <row r="147" spans="3:3" ht="13.2" x14ac:dyDescent="0.25">
      <c r="C147" s="625" t="s">
        <v>167</v>
      </c>
    </row>
    <row r="148" spans="3:3" ht="13.2" x14ac:dyDescent="0.25">
      <c r="C148" s="625" t="s">
        <v>168</v>
      </c>
    </row>
    <row r="149" spans="3:3" ht="13.2" x14ac:dyDescent="0.25">
      <c r="C149" s="625" t="s">
        <v>169</v>
      </c>
    </row>
    <row r="150" spans="3:3" ht="13.2" x14ac:dyDescent="0.25">
      <c r="C150" s="625" t="s">
        <v>170</v>
      </c>
    </row>
    <row r="151" spans="3:3" ht="13.2" x14ac:dyDescent="0.25">
      <c r="C151" s="625" t="s">
        <v>171</v>
      </c>
    </row>
    <row r="152" spans="3:3" ht="13.2" x14ac:dyDescent="0.25">
      <c r="C152" s="625" t="s">
        <v>172</v>
      </c>
    </row>
    <row r="153" spans="3:3" ht="13.2" x14ac:dyDescent="0.25">
      <c r="C153" s="625" t="s">
        <v>173</v>
      </c>
    </row>
    <row r="154" spans="3:3" ht="13.2" x14ac:dyDescent="0.25">
      <c r="C154" s="625" t="s">
        <v>174</v>
      </c>
    </row>
    <row r="155" spans="3:3" ht="13.2" x14ac:dyDescent="0.25">
      <c r="C155" s="625" t="s">
        <v>175</v>
      </c>
    </row>
    <row r="156" spans="3:3" ht="13.2" x14ac:dyDescent="0.25">
      <c r="C156" s="625" t="s">
        <v>176</v>
      </c>
    </row>
    <row r="157" spans="3:3" ht="13.2" x14ac:dyDescent="0.25">
      <c r="C157" s="625" t="s">
        <v>177</v>
      </c>
    </row>
    <row r="158" spans="3:3" ht="13.2" x14ac:dyDescent="0.25">
      <c r="C158" s="625" t="s">
        <v>178</v>
      </c>
    </row>
    <row r="159" spans="3:3" ht="13.2" x14ac:dyDescent="0.25">
      <c r="C159" s="625" t="s">
        <v>179</v>
      </c>
    </row>
    <row r="160" spans="3:3" ht="13.2" x14ac:dyDescent="0.25">
      <c r="C160" s="625" t="s">
        <v>180</v>
      </c>
    </row>
    <row r="161" spans="3:3" ht="13.2" x14ac:dyDescent="0.25">
      <c r="C161" s="625" t="s">
        <v>181</v>
      </c>
    </row>
    <row r="162" spans="3:3" ht="13.2" x14ac:dyDescent="0.25">
      <c r="C162" s="625" t="s">
        <v>182</v>
      </c>
    </row>
    <row r="163" spans="3:3" ht="13.2" x14ac:dyDescent="0.25">
      <c r="C163" s="625" t="s">
        <v>183</v>
      </c>
    </row>
    <row r="164" spans="3:3" ht="13.2" x14ac:dyDescent="0.25">
      <c r="C164" s="625" t="s">
        <v>184</v>
      </c>
    </row>
    <row r="165" spans="3:3" ht="13.2" x14ac:dyDescent="0.25">
      <c r="C165" s="625" t="s">
        <v>185</v>
      </c>
    </row>
    <row r="166" spans="3:3" ht="13.2" x14ac:dyDescent="0.25">
      <c r="C166" s="625" t="s">
        <v>186</v>
      </c>
    </row>
    <row r="167" spans="3:3" x14ac:dyDescent="0.2">
      <c r="C167" s="623"/>
    </row>
    <row r="168" spans="3:3" x14ac:dyDescent="0.2">
      <c r="C168" s="623"/>
    </row>
    <row r="169" spans="3:3" x14ac:dyDescent="0.2">
      <c r="C169" s="623"/>
    </row>
    <row r="170" spans="3:3" x14ac:dyDescent="0.2">
      <c r="C170" s="623"/>
    </row>
    <row r="171" spans="3:3" x14ac:dyDescent="0.2">
      <c r="C171" s="623"/>
    </row>
    <row r="172" spans="3:3" x14ac:dyDescent="0.2">
      <c r="C172" s="623"/>
    </row>
    <row r="173" spans="3:3" x14ac:dyDescent="0.2">
      <c r="C173" s="623"/>
    </row>
    <row r="174" spans="3:3" x14ac:dyDescent="0.2">
      <c r="C174" s="623"/>
    </row>
    <row r="175" spans="3:3" x14ac:dyDescent="0.2">
      <c r="C175" s="623"/>
    </row>
    <row r="176" spans="3:3" x14ac:dyDescent="0.2">
      <c r="C176" s="623"/>
    </row>
    <row r="177" spans="3:3" x14ac:dyDescent="0.2">
      <c r="C177" s="623"/>
    </row>
    <row r="178" spans="3:3" x14ac:dyDescent="0.2">
      <c r="C178" s="623"/>
    </row>
    <row r="179" spans="3:3" x14ac:dyDescent="0.2">
      <c r="C179" s="623"/>
    </row>
    <row r="180" spans="3:3" x14ac:dyDescent="0.2">
      <c r="C180" s="623"/>
    </row>
    <row r="181" spans="3:3" x14ac:dyDescent="0.2">
      <c r="C181" s="623"/>
    </row>
    <row r="182" spans="3:3" x14ac:dyDescent="0.2">
      <c r="C182" s="623"/>
    </row>
    <row r="183" spans="3:3" x14ac:dyDescent="0.2">
      <c r="C183" s="623"/>
    </row>
    <row r="184" spans="3:3" x14ac:dyDescent="0.2">
      <c r="C184" s="623"/>
    </row>
    <row r="185" spans="3:3" x14ac:dyDescent="0.2">
      <c r="C185" s="623"/>
    </row>
    <row r="186" spans="3:3" x14ac:dyDescent="0.2">
      <c r="C186" s="623"/>
    </row>
  </sheetData>
  <dataValidations count="1">
    <dataValidation type="list" allowBlank="1" showInputMessage="1" showErrorMessage="1" sqref="E6">
      <formula1>$H$5:$AT$5</formula1>
    </dataValidation>
  </dataValidations>
  <hyperlinks>
    <hyperlink ref="E12" r:id="rId1"/>
    <hyperlink ref="E18" r:id="rId2"/>
  </hyperlinks>
  <pageMargins left="0.7" right="0.7" top="0.75" bottom="0.75"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E253"/>
  <sheetViews>
    <sheetView showGridLines="0" zoomScale="70" zoomScaleNormal="70" zoomScaleSheetLayoutView="70" workbookViewId="0">
      <selection activeCell="E17" sqref="E17:O17"/>
    </sheetView>
  </sheetViews>
  <sheetFormatPr defaultRowHeight="11.4" x14ac:dyDescent="0.2"/>
  <cols>
    <col min="1" max="1" width="1.625" customWidth="1"/>
    <col min="2" max="2" width="4.125" customWidth="1"/>
    <col min="3" max="3" width="11.875" customWidth="1"/>
    <col min="4" max="4" width="14.875" customWidth="1"/>
    <col min="5" max="5" width="14.125" customWidth="1"/>
    <col min="6" max="6" width="13.125" customWidth="1"/>
    <col min="7" max="7" width="14.25" customWidth="1"/>
    <col min="8" max="8" width="13.75" customWidth="1"/>
    <col min="9" max="10" width="15.375" customWidth="1"/>
    <col min="11" max="11" width="13.125" customWidth="1"/>
    <col min="12" max="12" width="16.125" customWidth="1"/>
    <col min="13" max="13" width="17.375" customWidth="1"/>
    <col min="14" max="14" width="21.125" customWidth="1"/>
    <col min="15" max="15" width="16.625" customWidth="1"/>
    <col min="16" max="16" width="15.875" customWidth="1"/>
    <col min="17" max="17" width="15.125" customWidth="1"/>
    <col min="18" max="18" width="15.375" bestFit="1" customWidth="1"/>
    <col min="19" max="19" width="15.375" style="161" customWidth="1"/>
    <col min="20" max="20" width="13.25" style="161" customWidth="1"/>
    <col min="21" max="26" width="9.125" style="161" customWidth="1"/>
    <col min="27" max="28" width="9.625" style="161" bestFit="1" customWidth="1"/>
    <col min="29" max="30" width="9.125" style="161" customWidth="1"/>
  </cols>
  <sheetData>
    <row r="1" spans="1:30" ht="6" customHeight="1" x14ac:dyDescent="0.25">
      <c r="A1" s="30"/>
      <c r="B1" s="32"/>
      <c r="C1" s="32"/>
      <c r="D1" s="32"/>
      <c r="E1" s="32"/>
      <c r="F1" s="32"/>
      <c r="G1" s="32"/>
      <c r="H1" s="32"/>
      <c r="I1" s="32"/>
      <c r="J1" s="32"/>
      <c r="K1" s="32"/>
      <c r="L1" s="32"/>
      <c r="M1" s="32"/>
      <c r="N1" s="32"/>
      <c r="O1" s="32"/>
      <c r="P1" s="32"/>
      <c r="Q1" s="71"/>
      <c r="R1" s="164"/>
      <c r="S1" s="164"/>
      <c r="T1"/>
      <c r="U1" s="160"/>
      <c r="V1" s="160"/>
      <c r="W1" s="160"/>
      <c r="X1" s="160"/>
      <c r="Y1" s="160"/>
      <c r="Z1" s="160"/>
      <c r="AA1" s="160"/>
      <c r="AB1" s="160"/>
      <c r="AC1" s="160"/>
      <c r="AD1" s="160"/>
    </row>
    <row r="2" spans="1:30" ht="22.5" customHeight="1" x14ac:dyDescent="0.6">
      <c r="A2" s="36"/>
      <c r="B2" s="38"/>
      <c r="C2" s="102"/>
      <c r="D2" s="102"/>
      <c r="E2" s="336"/>
      <c r="F2" s="336"/>
      <c r="G2" s="336" t="s">
        <v>554</v>
      </c>
      <c r="H2" s="337"/>
      <c r="I2" s="337"/>
      <c r="J2" s="337"/>
      <c r="K2" s="337"/>
      <c r="L2" s="337"/>
      <c r="M2" s="337"/>
      <c r="N2" s="38"/>
      <c r="O2" s="337"/>
      <c r="P2" s="337"/>
      <c r="Q2" s="165"/>
      <c r="R2" s="164"/>
      <c r="S2" s="164"/>
      <c r="T2"/>
      <c r="U2" s="160"/>
      <c r="V2" s="160"/>
      <c r="W2" s="160"/>
      <c r="X2" s="160"/>
      <c r="Y2" s="160"/>
      <c r="Z2" s="160"/>
      <c r="AA2" s="160"/>
      <c r="AB2" s="160"/>
      <c r="AC2" s="160"/>
      <c r="AD2" s="160"/>
    </row>
    <row r="3" spans="1:30" ht="27.75" customHeight="1" x14ac:dyDescent="0.5">
      <c r="A3" s="36"/>
      <c r="B3" s="38"/>
      <c r="C3" s="102"/>
      <c r="D3" s="102"/>
      <c r="E3" s="38"/>
      <c r="F3" s="341"/>
      <c r="G3" s="38"/>
      <c r="H3" s="38"/>
      <c r="I3" s="38"/>
      <c r="J3" s="38"/>
      <c r="K3" s="38"/>
      <c r="L3" s="38"/>
      <c r="M3" s="38"/>
      <c r="N3" s="38"/>
      <c r="O3" s="761" t="str">
        <f>'WK0 - Input data'!$E$6</f>
        <v>2018-19</v>
      </c>
      <c r="P3" s="762"/>
      <c r="Q3" s="45"/>
      <c r="R3" s="164"/>
      <c r="S3" s="164"/>
      <c r="T3"/>
      <c r="U3" s="160"/>
      <c r="V3" s="160"/>
      <c r="W3" s="160"/>
      <c r="X3" s="160"/>
      <c r="Y3" s="160"/>
      <c r="Z3" s="160"/>
      <c r="AA3" s="160"/>
      <c r="AB3" s="160"/>
      <c r="AC3" s="160"/>
      <c r="AD3" s="160"/>
    </row>
    <row r="4" spans="1:30" ht="38.25" customHeight="1" x14ac:dyDescent="0.6">
      <c r="A4" s="36"/>
      <c r="B4" s="38"/>
      <c r="C4" s="158"/>
      <c r="D4" s="749" t="s">
        <v>305</v>
      </c>
      <c r="E4" s="750"/>
      <c r="F4" s="750"/>
      <c r="G4" s="750"/>
      <c r="H4" s="750"/>
      <c r="I4" s="750"/>
      <c r="J4" s="750"/>
      <c r="K4" s="750"/>
      <c r="L4" s="750"/>
      <c r="M4" s="750"/>
      <c r="N4" s="750"/>
      <c r="O4" s="750"/>
      <c r="P4" s="38"/>
      <c r="Q4" s="45"/>
      <c r="R4" s="164"/>
      <c r="S4" s="164"/>
      <c r="T4"/>
      <c r="U4" s="160"/>
      <c r="V4" s="160"/>
      <c r="W4" s="160"/>
      <c r="X4" s="160"/>
      <c r="Y4" s="160"/>
      <c r="Z4" s="160"/>
      <c r="AA4" s="160"/>
      <c r="AB4" s="160"/>
      <c r="AC4" s="160"/>
      <c r="AD4" s="160"/>
    </row>
    <row r="5" spans="1:30" ht="38.25" customHeight="1" x14ac:dyDescent="0.6">
      <c r="A5" s="36"/>
      <c r="B5" s="38"/>
      <c r="C5" s="158"/>
      <c r="D5" s="458"/>
      <c r="E5" s="309"/>
      <c r="F5" s="38"/>
      <c r="G5" s="30"/>
      <c r="H5" s="32"/>
      <c r="I5" s="469"/>
      <c r="J5" s="469" t="s">
        <v>457</v>
      </c>
      <c r="K5" s="32"/>
      <c r="L5" s="32"/>
      <c r="M5" s="71"/>
      <c r="N5" s="38"/>
      <c r="O5" s="38"/>
      <c r="P5" s="38"/>
      <c r="Q5" s="45"/>
      <c r="R5" s="164"/>
      <c r="S5" s="164"/>
      <c r="T5"/>
      <c r="U5" s="160"/>
      <c r="V5" s="160"/>
      <c r="W5" s="160"/>
      <c r="X5" s="160"/>
      <c r="Y5" s="160"/>
      <c r="Z5" s="160"/>
      <c r="AA5" s="160"/>
      <c r="AB5" s="160"/>
      <c r="AC5" s="160"/>
      <c r="AD5" s="160"/>
    </row>
    <row r="6" spans="1:30" ht="38.25" customHeight="1" x14ac:dyDescent="0.6">
      <c r="A6" s="36"/>
      <c r="B6" s="38"/>
      <c r="C6" s="158"/>
      <c r="D6" s="458"/>
      <c r="E6" s="309"/>
      <c r="F6" s="38"/>
      <c r="G6" s="36"/>
      <c r="H6" s="38"/>
      <c r="I6" s="309"/>
      <c r="J6" s="309" t="s">
        <v>458</v>
      </c>
      <c r="K6" s="38"/>
      <c r="L6" s="38"/>
      <c r="M6" s="45"/>
      <c r="N6" s="38"/>
      <c r="O6" s="38"/>
      <c r="P6" s="38"/>
      <c r="Q6" s="45"/>
      <c r="R6" s="164"/>
      <c r="S6" s="164"/>
      <c r="T6"/>
      <c r="U6" s="160"/>
      <c r="V6" s="160"/>
      <c r="W6" s="160"/>
      <c r="X6" s="160"/>
      <c r="Y6" s="160"/>
      <c r="Z6" s="160"/>
      <c r="AA6" s="160"/>
      <c r="AB6" s="160"/>
      <c r="AC6" s="160"/>
      <c r="AD6" s="160"/>
    </row>
    <row r="7" spans="1:30" ht="38.25" customHeight="1" x14ac:dyDescent="0.6">
      <c r="A7" s="36"/>
      <c r="B7" s="38"/>
      <c r="C7" s="158"/>
      <c r="D7" s="458"/>
      <c r="E7" s="309"/>
      <c r="F7" s="38"/>
      <c r="G7" s="36"/>
      <c r="H7" s="38"/>
      <c r="I7" s="309"/>
      <c r="J7" s="309" t="s">
        <v>459</v>
      </c>
      <c r="K7" s="38"/>
      <c r="L7" s="38"/>
      <c r="M7" s="45"/>
      <c r="N7" s="38"/>
      <c r="O7" s="38"/>
      <c r="P7" s="38"/>
      <c r="Q7" s="45"/>
      <c r="R7" s="164"/>
      <c r="S7" s="164"/>
      <c r="T7"/>
      <c r="U7" s="160"/>
      <c r="V7" s="160"/>
      <c r="W7" s="160"/>
      <c r="X7" s="160"/>
      <c r="Y7" s="160"/>
      <c r="Z7" s="160"/>
      <c r="AA7" s="160"/>
      <c r="AB7" s="160"/>
      <c r="AC7" s="160"/>
      <c r="AD7" s="160"/>
    </row>
    <row r="8" spans="1:30" ht="38.25" customHeight="1" x14ac:dyDescent="0.6">
      <c r="A8" s="36"/>
      <c r="B8" s="38"/>
      <c r="C8" s="158"/>
      <c r="D8" s="458"/>
      <c r="E8" s="309"/>
      <c r="F8" s="38"/>
      <c r="G8" s="63"/>
      <c r="H8" s="65"/>
      <c r="I8" s="470"/>
      <c r="J8" s="470" t="s">
        <v>686</v>
      </c>
      <c r="K8" s="65"/>
      <c r="L8" s="65"/>
      <c r="M8" s="87"/>
      <c r="N8" s="38"/>
      <c r="O8" s="38"/>
      <c r="P8" s="38"/>
      <c r="Q8" s="45"/>
      <c r="R8" s="164"/>
      <c r="S8" s="164"/>
      <c r="T8"/>
      <c r="U8" s="160"/>
      <c r="V8" s="160"/>
      <c r="W8" s="160"/>
      <c r="X8" s="160"/>
      <c r="Y8" s="160"/>
      <c r="Z8" s="160"/>
      <c r="AA8" s="160"/>
      <c r="AB8" s="160"/>
      <c r="AC8" s="160"/>
      <c r="AD8" s="160"/>
    </row>
    <row r="9" spans="1:30" ht="38.25" customHeight="1" x14ac:dyDescent="0.4">
      <c r="A9" s="36"/>
      <c r="B9" s="745" t="s">
        <v>725</v>
      </c>
      <c r="C9" s="746"/>
      <c r="D9" s="746"/>
      <c r="E9" s="746"/>
      <c r="F9" s="746"/>
      <c r="G9" s="746"/>
      <c r="H9" s="746"/>
      <c r="I9" s="746"/>
      <c r="J9" s="746"/>
      <c r="K9" s="746"/>
      <c r="L9" s="746"/>
      <c r="M9" s="746"/>
      <c r="N9" s="746"/>
      <c r="O9" s="746"/>
      <c r="P9" s="38"/>
      <c r="Q9" s="45"/>
      <c r="R9" s="164"/>
      <c r="S9" s="164"/>
      <c r="T9"/>
      <c r="U9" s="160"/>
      <c r="V9" s="160"/>
      <c r="W9" s="160"/>
      <c r="X9" s="160"/>
      <c r="Y9" s="160"/>
      <c r="Z9" s="160"/>
      <c r="AA9" s="160"/>
      <c r="AB9" s="160"/>
      <c r="AC9" s="160"/>
      <c r="AD9" s="160"/>
    </row>
    <row r="10" spans="1:30" ht="19.5" customHeight="1" x14ac:dyDescent="0.6">
      <c r="A10" s="36"/>
      <c r="B10" s="38"/>
      <c r="C10" s="158"/>
      <c r="D10" s="158"/>
      <c r="E10" s="202"/>
      <c r="F10" s="756"/>
      <c r="G10" s="757"/>
      <c r="H10" s="757"/>
      <c r="I10" s="757"/>
      <c r="J10" s="757"/>
      <c r="K10" s="757"/>
      <c r="L10" s="757"/>
      <c r="M10" s="286"/>
      <c r="N10" s="286"/>
      <c r="O10" s="158"/>
      <c r="P10" s="38"/>
      <c r="Q10" s="45"/>
      <c r="R10" s="164"/>
      <c r="S10" s="164"/>
      <c r="T10"/>
      <c r="U10" s="160"/>
      <c r="V10" s="160"/>
      <c r="W10" s="160"/>
      <c r="X10" s="160"/>
      <c r="Y10" s="160"/>
      <c r="Z10" s="160"/>
      <c r="AA10" s="160"/>
      <c r="AB10" s="160"/>
      <c r="AC10" s="160"/>
      <c r="AD10" s="160"/>
    </row>
    <row r="11" spans="1:30" ht="15.6" x14ac:dyDescent="0.3">
      <c r="A11" s="36"/>
      <c r="B11" s="83" t="s">
        <v>69</v>
      </c>
      <c r="C11" s="38"/>
      <c r="D11" s="91"/>
      <c r="E11" s="752" t="s">
        <v>132</v>
      </c>
      <c r="F11" s="753"/>
      <c r="G11" s="753"/>
      <c r="H11" s="753"/>
      <c r="I11" s="753"/>
      <c r="J11" s="753"/>
      <c r="K11" s="753"/>
      <c r="L11" s="753"/>
      <c r="M11" s="753"/>
      <c r="N11" s="753"/>
      <c r="O11" s="754"/>
      <c r="P11" s="38"/>
      <c r="Q11" s="45"/>
      <c r="R11" s="164"/>
      <c r="S11" s="164"/>
      <c r="T11"/>
      <c r="U11" s="160"/>
      <c r="V11" s="160"/>
      <c r="W11" s="160"/>
      <c r="X11" s="160"/>
      <c r="Y11" s="160"/>
      <c r="Z11" s="160"/>
      <c r="AA11" s="160"/>
      <c r="AB11" s="160"/>
      <c r="AC11" s="160"/>
      <c r="AD11" s="160"/>
    </row>
    <row r="12" spans="1:30" ht="3.75" customHeight="1" x14ac:dyDescent="0.25">
      <c r="A12" s="36"/>
      <c r="B12" s="38"/>
      <c r="C12" s="95"/>
      <c r="D12" s="91"/>
      <c r="E12" s="95"/>
      <c r="F12" s="95"/>
      <c r="G12" s="95"/>
      <c r="H12" s="95"/>
      <c r="I12" s="95"/>
      <c r="J12" s="95"/>
      <c r="K12" s="95"/>
      <c r="L12" s="95"/>
      <c r="M12" s="95"/>
      <c r="N12" s="95"/>
      <c r="O12" s="95"/>
      <c r="P12" s="38"/>
      <c r="Q12" s="45"/>
      <c r="R12" s="164"/>
      <c r="S12" s="164"/>
      <c r="T12"/>
      <c r="U12" s="160"/>
      <c r="V12" s="160"/>
      <c r="W12" s="160"/>
      <c r="X12" s="160"/>
      <c r="Y12" s="160"/>
      <c r="Z12" s="160"/>
      <c r="AA12" s="160"/>
      <c r="AB12" s="160"/>
      <c r="AC12" s="160"/>
      <c r="AD12" s="160"/>
    </row>
    <row r="13" spans="1:30" ht="13.5" customHeight="1" x14ac:dyDescent="0.3">
      <c r="A13" s="36"/>
      <c r="B13" s="124" t="s">
        <v>233</v>
      </c>
      <c r="C13" s="38"/>
      <c r="D13" s="91"/>
      <c r="E13" s="95"/>
      <c r="F13" s="95"/>
      <c r="G13" s="95"/>
      <c r="H13" s="95"/>
      <c r="I13" s="95"/>
      <c r="J13" s="95"/>
      <c r="K13" s="95"/>
      <c r="L13" s="95"/>
      <c r="M13" s="95"/>
      <c r="N13" s="95"/>
      <c r="O13" s="95"/>
      <c r="P13" s="38"/>
      <c r="Q13" s="45"/>
      <c r="R13" s="164"/>
      <c r="S13" s="164"/>
      <c r="T13"/>
      <c r="U13" s="160"/>
      <c r="V13" s="160"/>
      <c r="W13" s="160"/>
      <c r="X13" s="160"/>
      <c r="Y13" s="160"/>
      <c r="Z13" s="160"/>
      <c r="AA13" s="160"/>
      <c r="AB13" s="160"/>
      <c r="AC13" s="160"/>
      <c r="AD13" s="160"/>
    </row>
    <row r="14" spans="1:30" ht="15.6" x14ac:dyDescent="0.3">
      <c r="A14" s="36"/>
      <c r="B14" s="124" t="s">
        <v>261</v>
      </c>
      <c r="C14" s="38"/>
      <c r="D14" s="38"/>
      <c r="E14" s="755" t="s">
        <v>778</v>
      </c>
      <c r="F14" s="753"/>
      <c r="G14" s="753"/>
      <c r="H14" s="753"/>
      <c r="I14" s="753"/>
      <c r="J14" s="753"/>
      <c r="K14" s="753"/>
      <c r="L14" s="753"/>
      <c r="M14" s="753"/>
      <c r="N14" s="753"/>
      <c r="O14" s="754"/>
      <c r="P14" s="38"/>
      <c r="Q14" s="45"/>
      <c r="R14" s="164"/>
      <c r="S14" s="164"/>
      <c r="T14"/>
      <c r="V14" s="160"/>
      <c r="W14" s="160"/>
      <c r="X14" s="160"/>
      <c r="Y14" s="160"/>
      <c r="Z14" s="160"/>
      <c r="AA14" s="160"/>
      <c r="AB14" s="160"/>
      <c r="AC14" s="160"/>
      <c r="AD14" s="160"/>
    </row>
    <row r="15" spans="1:30" ht="15.6" x14ac:dyDescent="0.3">
      <c r="A15" s="36"/>
      <c r="B15" s="124" t="s">
        <v>262</v>
      </c>
      <c r="C15" s="38"/>
      <c r="D15" s="38"/>
      <c r="E15" s="755" t="s">
        <v>789</v>
      </c>
      <c r="F15" s="753"/>
      <c r="G15" s="753"/>
      <c r="H15" s="753"/>
      <c r="I15" s="753"/>
      <c r="J15" s="753"/>
      <c r="K15" s="753"/>
      <c r="L15" s="753"/>
      <c r="M15" s="753"/>
      <c r="N15" s="753"/>
      <c r="O15" s="754"/>
      <c r="P15" s="38"/>
      <c r="Q15" s="45"/>
      <c r="R15" s="164"/>
      <c r="S15" s="164"/>
      <c r="T15"/>
      <c r="V15" s="160"/>
      <c r="W15" s="160"/>
      <c r="X15" s="160"/>
      <c r="Y15" s="160"/>
      <c r="Z15" s="160"/>
      <c r="AA15" s="160"/>
      <c r="AB15" s="160"/>
      <c r="AC15" s="160"/>
      <c r="AD15" s="160"/>
    </row>
    <row r="16" spans="1:30" ht="15.6" x14ac:dyDescent="0.3">
      <c r="A16" s="36"/>
      <c r="B16" s="124" t="s">
        <v>263</v>
      </c>
      <c r="C16" s="38"/>
      <c r="D16" s="38"/>
      <c r="E16" s="758"/>
      <c r="F16" s="759"/>
      <c r="G16" s="759"/>
      <c r="H16" s="759"/>
      <c r="I16" s="759"/>
      <c r="J16" s="759"/>
      <c r="K16" s="759"/>
      <c r="L16" s="759"/>
      <c r="M16" s="759"/>
      <c r="N16" s="759"/>
      <c r="O16" s="760"/>
      <c r="P16" s="38"/>
      <c r="Q16" s="45"/>
      <c r="R16" s="164"/>
      <c r="S16" s="164"/>
      <c r="T16"/>
      <c r="V16" s="160"/>
      <c r="W16" s="160"/>
      <c r="X16" s="160"/>
      <c r="Y16" s="160"/>
      <c r="Z16" s="160"/>
      <c r="AA16" s="160"/>
      <c r="AB16" s="160"/>
      <c r="AC16" s="160"/>
      <c r="AD16" s="160"/>
    </row>
    <row r="17" spans="1:31" ht="15.6" x14ac:dyDescent="0.3">
      <c r="A17" s="36"/>
      <c r="B17" s="124" t="s">
        <v>13</v>
      </c>
      <c r="C17" s="38"/>
      <c r="D17" s="38"/>
      <c r="E17" s="742"/>
      <c r="F17" s="743"/>
      <c r="G17" s="743"/>
      <c r="H17" s="743"/>
      <c r="I17" s="743"/>
      <c r="J17" s="743"/>
      <c r="K17" s="743"/>
      <c r="L17" s="743"/>
      <c r="M17" s="743"/>
      <c r="N17" s="743"/>
      <c r="O17" s="744"/>
      <c r="P17" s="38"/>
      <c r="Q17" s="45"/>
      <c r="R17" s="164"/>
      <c r="S17" s="164"/>
      <c r="T17"/>
      <c r="V17" s="160"/>
      <c r="W17" s="160"/>
      <c r="X17" s="160"/>
      <c r="Y17" s="160"/>
      <c r="Z17" s="160"/>
      <c r="AA17" s="160"/>
      <c r="AB17" s="160"/>
      <c r="AC17" s="160"/>
      <c r="AD17" s="160"/>
    </row>
    <row r="18" spans="1:31" ht="5.25" customHeight="1" x14ac:dyDescent="0.25">
      <c r="A18" s="36"/>
      <c r="B18" s="289"/>
      <c r="C18" s="289"/>
      <c r="D18" s="38"/>
      <c r="E18" s="38"/>
      <c r="F18" s="38"/>
      <c r="G18" s="38"/>
      <c r="H18" s="38"/>
      <c r="I18" s="38"/>
      <c r="J18" s="38"/>
      <c r="K18" s="38"/>
      <c r="L18" s="38"/>
      <c r="M18" s="38"/>
      <c r="N18" s="38"/>
      <c r="O18" s="38"/>
      <c r="P18" s="38"/>
      <c r="Q18" s="45"/>
      <c r="R18" s="164"/>
      <c r="S18" s="164"/>
      <c r="T18"/>
      <c r="V18" s="160"/>
      <c r="W18" s="160"/>
      <c r="X18" s="160"/>
      <c r="Y18" s="160"/>
      <c r="Z18" s="160"/>
      <c r="AA18" s="160"/>
      <c r="AB18" s="160"/>
      <c r="AC18" s="160"/>
      <c r="AD18" s="160"/>
    </row>
    <row r="19" spans="1:31" ht="29.25" customHeight="1" x14ac:dyDescent="0.3">
      <c r="A19" s="36"/>
      <c r="B19" s="290" t="s">
        <v>688</v>
      </c>
      <c r="C19" s="38"/>
      <c r="D19" s="38"/>
      <c r="E19" s="38"/>
      <c r="F19" s="38"/>
      <c r="G19" s="38"/>
      <c r="H19" s="38"/>
      <c r="I19" s="38"/>
      <c r="J19" s="38"/>
      <c r="K19" s="38"/>
      <c r="L19" s="38"/>
      <c r="M19" s="38"/>
      <c r="N19" s="38"/>
      <c r="O19" s="38"/>
      <c r="P19" s="38"/>
      <c r="Q19" s="45"/>
      <c r="R19" s="164"/>
      <c r="S19" s="164"/>
      <c r="T19"/>
      <c r="V19" s="160"/>
      <c r="W19" s="160"/>
      <c r="X19" s="160"/>
      <c r="Y19" s="160"/>
      <c r="Z19" s="160"/>
      <c r="AA19" s="160"/>
      <c r="AB19" s="160"/>
      <c r="AC19" s="160"/>
      <c r="AD19" s="160"/>
    </row>
    <row r="20" spans="1:31" ht="1.5" customHeight="1" x14ac:dyDescent="0.25">
      <c r="A20" s="36"/>
      <c r="B20" s="289"/>
      <c r="C20" s="38"/>
      <c r="D20" s="38"/>
      <c r="E20" s="38"/>
      <c r="F20" s="38"/>
      <c r="G20" s="38"/>
      <c r="H20" s="38"/>
      <c r="I20" s="38"/>
      <c r="J20" s="38"/>
      <c r="K20" s="38"/>
      <c r="L20" s="38"/>
      <c r="M20" s="38"/>
      <c r="N20" s="38"/>
      <c r="O20" s="38"/>
      <c r="P20" s="38"/>
      <c r="Q20" s="45"/>
      <c r="R20" s="164"/>
      <c r="S20" s="164"/>
      <c r="T20"/>
      <c r="U20" s="160"/>
      <c r="V20" s="160"/>
      <c r="W20" s="160"/>
      <c r="X20" s="160"/>
      <c r="Y20" s="160"/>
      <c r="Z20" s="160"/>
      <c r="AA20" s="160"/>
      <c r="AB20" s="160"/>
      <c r="AC20" s="160"/>
      <c r="AD20" s="160"/>
    </row>
    <row r="21" spans="1:31" ht="15" x14ac:dyDescent="0.25">
      <c r="A21" s="36"/>
      <c r="B21" s="335" t="s">
        <v>462</v>
      </c>
      <c r="C21" s="38"/>
      <c r="D21" s="38"/>
      <c r="E21" s="38"/>
      <c r="F21" s="38"/>
      <c r="G21" s="38"/>
      <c r="H21" s="38"/>
      <c r="I21" s="38"/>
      <c r="J21" s="38"/>
      <c r="K21" s="38"/>
      <c r="L21" s="459" t="s">
        <v>463</v>
      </c>
      <c r="M21" s="38"/>
      <c r="N21" s="38"/>
      <c r="O21" s="38"/>
      <c r="P21" s="38"/>
      <c r="Q21" s="45"/>
      <c r="R21" s="164"/>
      <c r="S21" s="164"/>
      <c r="T21"/>
      <c r="U21" s="160"/>
      <c r="V21" s="160"/>
      <c r="W21" s="160"/>
      <c r="X21" s="160"/>
      <c r="Y21" s="160"/>
      <c r="Z21" s="160"/>
      <c r="AA21" s="160"/>
      <c r="AB21" s="160"/>
      <c r="AC21" s="160"/>
      <c r="AD21" s="160"/>
    </row>
    <row r="22" spans="1:31" ht="15.6" x14ac:dyDescent="0.3">
      <c r="A22" s="36"/>
      <c r="B22" s="335" t="s">
        <v>465</v>
      </c>
      <c r="C22" s="38"/>
      <c r="D22" s="83"/>
      <c r="E22" s="83"/>
      <c r="F22" s="83"/>
      <c r="G22" s="83"/>
      <c r="H22" s="83"/>
      <c r="I22" s="83"/>
      <c r="J22" s="83"/>
      <c r="K22" s="83"/>
      <c r="L22" s="459"/>
      <c r="M22" s="460"/>
      <c r="N22" s="38"/>
      <c r="O22" s="38"/>
      <c r="P22" s="38"/>
      <c r="Q22" s="45"/>
      <c r="S22"/>
      <c r="T22"/>
      <c r="U22"/>
      <c r="V22" s="160"/>
      <c r="W22" s="160"/>
      <c r="X22" s="160"/>
      <c r="Y22" s="160"/>
      <c r="Z22" s="160"/>
      <c r="AA22" s="160"/>
      <c r="AB22" s="160"/>
      <c r="AC22" s="160"/>
      <c r="AD22" s="160"/>
      <c r="AE22" s="160"/>
    </row>
    <row r="23" spans="1:31" ht="15.6" x14ac:dyDescent="0.3">
      <c r="A23" s="36"/>
      <c r="B23" s="335" t="s">
        <v>537</v>
      </c>
      <c r="C23" s="38"/>
      <c r="D23" s="83"/>
      <c r="E23" s="83"/>
      <c r="F23" s="83"/>
      <c r="G23" s="83"/>
      <c r="H23" s="83"/>
      <c r="I23" s="81"/>
      <c r="J23" s="83"/>
      <c r="K23" s="83"/>
      <c r="L23" s="459" t="s">
        <v>538</v>
      </c>
      <c r="M23" s="493">
        <v>5</v>
      </c>
      <c r="N23" s="38"/>
      <c r="O23" s="38"/>
      <c r="P23" s="38"/>
      <c r="Q23" s="45"/>
      <c r="S23"/>
      <c r="T23"/>
      <c r="U23"/>
      <c r="V23" s="160"/>
      <c r="W23" s="160"/>
      <c r="X23" s="160"/>
      <c r="Y23" s="160"/>
      <c r="Z23" s="160"/>
      <c r="AA23" s="160"/>
      <c r="AB23" s="160"/>
      <c r="AC23" s="160"/>
      <c r="AD23" s="160"/>
      <c r="AE23" s="160"/>
    </row>
    <row r="24" spans="1:31" ht="15.6" x14ac:dyDescent="0.3">
      <c r="A24" s="36"/>
      <c r="B24" s="335" t="s">
        <v>535</v>
      </c>
      <c r="C24" s="38"/>
      <c r="D24" s="83"/>
      <c r="E24" s="83"/>
      <c r="F24" s="83"/>
      <c r="G24" s="83"/>
      <c r="H24" s="83"/>
      <c r="I24" s="81"/>
      <c r="J24" s="83"/>
      <c r="K24" s="83"/>
      <c r="L24" s="572">
        <v>4.1000000000000003E-3</v>
      </c>
      <c r="M24" s="460"/>
      <c r="N24" s="38"/>
      <c r="O24" s="38"/>
      <c r="P24" s="38"/>
      <c r="Q24" s="45"/>
      <c r="S24"/>
      <c r="T24"/>
      <c r="U24"/>
      <c r="V24" s="160"/>
      <c r="W24" s="160"/>
      <c r="X24" s="160"/>
      <c r="Y24" s="160"/>
      <c r="Z24" s="160"/>
      <c r="AA24" s="160"/>
      <c r="AB24" s="160"/>
      <c r="AC24" s="160"/>
      <c r="AD24" s="160"/>
      <c r="AE24" s="160"/>
    </row>
    <row r="25" spans="1:31" ht="15.6" x14ac:dyDescent="0.3">
      <c r="A25" s="36"/>
      <c r="B25" s="335"/>
      <c r="C25" s="38"/>
      <c r="D25" s="83"/>
      <c r="E25" s="83"/>
      <c r="F25" s="83"/>
      <c r="G25" s="83"/>
      <c r="H25" s="83"/>
      <c r="I25" s="81"/>
      <c r="J25" s="83"/>
      <c r="K25" s="83"/>
      <c r="L25" s="83"/>
      <c r="M25" s="83"/>
      <c r="N25" s="38"/>
      <c r="O25" s="38"/>
      <c r="P25" s="38"/>
      <c r="Q25" s="45"/>
      <c r="S25"/>
      <c r="T25"/>
      <c r="U25"/>
      <c r="V25" s="160"/>
      <c r="W25" s="160"/>
      <c r="X25" s="160"/>
      <c r="Y25" s="160"/>
      <c r="Z25" s="160"/>
      <c r="AA25" s="160"/>
      <c r="AB25" s="160"/>
      <c r="AC25" s="160"/>
      <c r="AD25" s="160"/>
      <c r="AE25" s="160"/>
    </row>
    <row r="26" spans="1:31" ht="17.399999999999999" x14ac:dyDescent="0.3">
      <c r="A26" s="36"/>
      <c r="B26" s="290" t="s">
        <v>316</v>
      </c>
      <c r="C26" s="38"/>
      <c r="D26" s="83"/>
      <c r="E26" s="83"/>
      <c r="F26" s="83"/>
      <c r="G26" s="83"/>
      <c r="H26" s="83"/>
      <c r="I26" s="81"/>
      <c r="J26" s="83"/>
      <c r="K26" s="83"/>
      <c r="L26" s="455" t="s">
        <v>552</v>
      </c>
      <c r="M26" s="455" t="s">
        <v>553</v>
      </c>
      <c r="N26" s="38"/>
      <c r="O26" s="38"/>
      <c r="P26" s="38"/>
      <c r="Q26" s="45"/>
      <c r="S26"/>
      <c r="T26"/>
      <c r="U26"/>
      <c r="V26" s="160"/>
      <c r="W26" s="160"/>
      <c r="X26" s="160"/>
      <c r="Y26" s="160"/>
      <c r="Z26" s="160"/>
      <c r="AA26" s="160"/>
      <c r="AB26" s="160"/>
      <c r="AC26" s="160"/>
      <c r="AD26" s="160"/>
      <c r="AE26" s="160"/>
    </row>
    <row r="27" spans="1:31" ht="15.75" customHeight="1" x14ac:dyDescent="0.3">
      <c r="A27" s="36"/>
      <c r="B27" s="81" t="s">
        <v>550</v>
      </c>
      <c r="C27" s="38"/>
      <c r="D27" s="83"/>
      <c r="E27" s="83"/>
      <c r="F27" s="83"/>
      <c r="G27" s="83"/>
      <c r="H27" s="83"/>
      <c r="I27" s="83"/>
      <c r="J27" s="83"/>
      <c r="K27" s="83"/>
      <c r="L27" s="459" t="s">
        <v>779</v>
      </c>
      <c r="M27" s="459"/>
      <c r="N27" s="38"/>
      <c r="O27" s="385"/>
      <c r="P27" s="385"/>
      <c r="Q27" s="45"/>
      <c r="S27"/>
      <c r="T27"/>
      <c r="U27"/>
      <c r="V27" s="160"/>
      <c r="W27" s="160"/>
      <c r="X27" s="160"/>
      <c r="Y27" s="160"/>
      <c r="Z27" s="160"/>
      <c r="AA27" s="160"/>
      <c r="AB27" s="160"/>
      <c r="AC27" s="160"/>
      <c r="AD27" s="160"/>
      <c r="AE27" s="160"/>
    </row>
    <row r="28" spans="1:31" ht="15.75" customHeight="1" x14ac:dyDescent="0.3">
      <c r="A28" s="36"/>
      <c r="B28" s="81" t="s">
        <v>618</v>
      </c>
      <c r="C28" s="38"/>
      <c r="D28" s="83"/>
      <c r="E28" s="83"/>
      <c r="F28" s="83"/>
      <c r="G28" s="83"/>
      <c r="H28" s="83"/>
      <c r="I28" s="83"/>
      <c r="J28" s="83"/>
      <c r="K28" s="83"/>
      <c r="L28" s="83"/>
      <c r="M28" s="83"/>
      <c r="N28" s="38"/>
      <c r="O28" s="385"/>
      <c r="P28" s="385"/>
      <c r="Q28" s="45"/>
      <c r="S28"/>
      <c r="T28"/>
      <c r="U28"/>
      <c r="V28" s="160"/>
      <c r="W28" s="160"/>
      <c r="X28" s="160"/>
      <c r="Y28" s="160"/>
      <c r="Z28" s="160"/>
      <c r="AA28" s="160"/>
      <c r="AB28" s="160"/>
      <c r="AC28" s="160"/>
      <c r="AD28" s="160"/>
      <c r="AE28" s="160"/>
    </row>
    <row r="29" spans="1:31" ht="15.75" customHeight="1" x14ac:dyDescent="0.3">
      <c r="A29" s="36"/>
      <c r="B29" s="81" t="s">
        <v>534</v>
      </c>
      <c r="C29" s="398"/>
      <c r="D29" s="399"/>
      <c r="E29" s="399"/>
      <c r="F29" s="399"/>
      <c r="G29" s="399"/>
      <c r="H29" s="399"/>
      <c r="I29" s="399"/>
      <c r="J29" s="399"/>
      <c r="K29" s="399" t="s">
        <v>549</v>
      </c>
      <c r="L29" s="578">
        <v>3.8199999999999998E-2</v>
      </c>
      <c r="M29" s="578"/>
      <c r="N29" s="38"/>
      <c r="O29" s="38"/>
      <c r="P29" s="38"/>
      <c r="Q29" s="45"/>
      <c r="S29"/>
      <c r="T29"/>
      <c r="U29"/>
      <c r="V29" s="160"/>
      <c r="W29" s="160"/>
      <c r="X29" s="160"/>
      <c r="Y29" s="160"/>
      <c r="Z29" s="160"/>
      <c r="AA29" s="160"/>
      <c r="AB29" s="160"/>
      <c r="AC29" s="160"/>
      <c r="AD29" s="160"/>
      <c r="AE29" s="160"/>
    </row>
    <row r="30" spans="1:31" ht="15.75" customHeight="1" x14ac:dyDescent="0.3">
      <c r="A30" s="36"/>
      <c r="B30" s="81" t="s">
        <v>551</v>
      </c>
      <c r="C30" s="398"/>
      <c r="D30" s="399"/>
      <c r="E30" s="399"/>
      <c r="F30" s="399"/>
      <c r="G30" s="399"/>
      <c r="H30" s="399"/>
      <c r="I30" s="399"/>
      <c r="J30" s="399"/>
      <c r="K30" s="399" t="s">
        <v>491</v>
      </c>
      <c r="L30" s="578">
        <v>4.1999999999999997E-3</v>
      </c>
      <c r="M30" s="578"/>
      <c r="N30" s="38"/>
      <c r="O30" s="38"/>
      <c r="P30" s="38"/>
      <c r="Q30" s="45"/>
      <c r="S30"/>
      <c r="T30"/>
      <c r="U30"/>
      <c r="V30" s="160"/>
      <c r="W30" s="160"/>
      <c r="X30" s="160"/>
      <c r="Y30" s="160"/>
      <c r="Z30" s="160"/>
      <c r="AA30" s="160"/>
      <c r="AB30" s="160"/>
      <c r="AC30" s="160"/>
      <c r="AD30" s="160"/>
      <c r="AE30" s="160"/>
    </row>
    <row r="31" spans="1:31" ht="29.25" customHeight="1" x14ac:dyDescent="0.3">
      <c r="A31" s="36"/>
      <c r="B31" s="290" t="s">
        <v>460</v>
      </c>
      <c r="C31" s="38"/>
      <c r="D31" s="38"/>
      <c r="E31" s="38"/>
      <c r="F31" s="38"/>
      <c r="G31" s="38"/>
      <c r="H31" s="38"/>
      <c r="I31" s="38"/>
      <c r="J31" s="38"/>
      <c r="K31" s="38"/>
      <c r="L31" s="38"/>
      <c r="M31" s="38"/>
      <c r="N31" s="38"/>
      <c r="O31" s="38"/>
      <c r="P31" s="38"/>
      <c r="Q31" s="45"/>
      <c r="R31" s="164"/>
      <c r="S31" s="164"/>
      <c r="T31"/>
      <c r="V31" s="160"/>
      <c r="W31" s="160"/>
      <c r="X31" s="160"/>
      <c r="Y31" s="160"/>
      <c r="Z31" s="160"/>
      <c r="AA31" s="160"/>
      <c r="AB31" s="160"/>
      <c r="AC31" s="160"/>
      <c r="AD31" s="160"/>
    </row>
    <row r="32" spans="1:31" ht="1.5" customHeight="1" x14ac:dyDescent="0.25">
      <c r="A32" s="36"/>
      <c r="B32" s="289"/>
      <c r="C32" s="38"/>
      <c r="D32" s="38"/>
      <c r="E32" s="38"/>
      <c r="F32" s="38"/>
      <c r="G32" s="38"/>
      <c r="H32" s="38"/>
      <c r="I32" s="38"/>
      <c r="J32" s="38"/>
      <c r="K32" s="38"/>
      <c r="L32" s="38"/>
      <c r="M32" s="38"/>
      <c r="N32" s="38"/>
      <c r="O32" s="38"/>
      <c r="P32" s="38"/>
      <c r="Q32" s="45"/>
      <c r="R32" s="164"/>
      <c r="S32" s="164"/>
      <c r="T32"/>
      <c r="U32" s="160"/>
      <c r="V32" s="160"/>
      <c r="W32" s="160"/>
      <c r="X32" s="160"/>
      <c r="Y32" s="160"/>
      <c r="Z32" s="160"/>
      <c r="AA32" s="160"/>
      <c r="AB32" s="160"/>
      <c r="AC32" s="160"/>
      <c r="AD32" s="160"/>
    </row>
    <row r="33" spans="1:31" ht="15.6" x14ac:dyDescent="0.3">
      <c r="A33" s="36"/>
      <c r="B33" s="335" t="s">
        <v>466</v>
      </c>
      <c r="C33" s="38"/>
      <c r="D33" s="83"/>
      <c r="E33" s="83"/>
      <c r="F33" s="83"/>
      <c r="G33" s="83"/>
      <c r="H33" s="83"/>
      <c r="I33" s="83"/>
      <c r="J33" s="83"/>
      <c r="K33" s="83"/>
      <c r="L33" s="579">
        <v>0</v>
      </c>
      <c r="M33" s="340">
        <f>(L33/'WK4 - PGI summary'!H14)</f>
        <v>0</v>
      </c>
      <c r="N33" s="38"/>
      <c r="O33" s="38"/>
      <c r="P33" s="38"/>
      <c r="Q33" s="45"/>
      <c r="S33"/>
      <c r="T33"/>
      <c r="U33"/>
      <c r="V33" s="160"/>
      <c r="W33" s="160"/>
      <c r="X33" s="160"/>
      <c r="Y33" s="160"/>
      <c r="Z33" s="160"/>
      <c r="AA33" s="160"/>
      <c r="AB33" s="160"/>
      <c r="AC33" s="160"/>
      <c r="AD33" s="160"/>
      <c r="AE33" s="160"/>
    </row>
    <row r="34" spans="1:31" ht="15.6" x14ac:dyDescent="0.3">
      <c r="A34" s="36"/>
      <c r="B34" s="335" t="s">
        <v>467</v>
      </c>
      <c r="C34" s="38"/>
      <c r="D34" s="83"/>
      <c r="E34" s="83"/>
      <c r="F34" s="83"/>
      <c r="G34" s="83"/>
      <c r="H34" s="83"/>
      <c r="I34" s="81"/>
      <c r="J34" s="83"/>
      <c r="K34" s="83"/>
      <c r="L34" s="579">
        <v>1258</v>
      </c>
      <c r="M34" s="460"/>
      <c r="N34" s="38"/>
      <c r="O34" s="38"/>
      <c r="P34" s="38"/>
      <c r="Q34" s="45"/>
      <c r="S34"/>
      <c r="T34"/>
      <c r="U34"/>
      <c r="V34" s="160"/>
      <c r="W34" s="160"/>
      <c r="X34" s="160"/>
      <c r="Y34" s="160"/>
      <c r="Z34" s="160"/>
      <c r="AA34" s="160"/>
      <c r="AB34" s="160"/>
      <c r="AC34" s="160"/>
      <c r="AD34" s="160"/>
      <c r="AE34" s="160"/>
    </row>
    <row r="35" spans="1:31" ht="15.75" customHeight="1" x14ac:dyDescent="0.3">
      <c r="A35" s="36"/>
      <c r="B35" s="81" t="s">
        <v>582</v>
      </c>
      <c r="C35" s="38"/>
      <c r="D35" s="83"/>
      <c r="E35" s="83"/>
      <c r="F35" s="83"/>
      <c r="G35" s="83"/>
      <c r="H35" s="83"/>
      <c r="I35" s="83"/>
      <c r="J35" s="83"/>
      <c r="K35" s="83"/>
      <c r="L35" s="580">
        <v>0</v>
      </c>
      <c r="M35" s="385"/>
      <c r="N35" s="38"/>
      <c r="O35" s="385"/>
      <c r="P35" s="385"/>
      <c r="Q35" s="45"/>
      <c r="S35"/>
      <c r="T35"/>
      <c r="U35"/>
      <c r="V35" s="160"/>
      <c r="W35" s="160"/>
      <c r="X35" s="160"/>
      <c r="Y35" s="160"/>
      <c r="Z35" s="160"/>
      <c r="AA35" s="160"/>
      <c r="AB35" s="160"/>
      <c r="AC35" s="160"/>
      <c r="AD35" s="160"/>
      <c r="AE35" s="160"/>
    </row>
    <row r="36" spans="1:31" ht="30" customHeight="1" x14ac:dyDescent="0.3">
      <c r="A36" s="36"/>
      <c r="B36" s="291" t="s">
        <v>265</v>
      </c>
      <c r="C36" s="81"/>
      <c r="D36" s="81"/>
      <c r="E36" s="81"/>
      <c r="F36" s="81"/>
      <c r="G36" s="81"/>
      <c r="H36" s="81"/>
      <c r="I36" s="81"/>
      <c r="J36" s="81"/>
      <c r="K36" s="81"/>
      <c r="L36" s="38"/>
      <c r="M36" s="334"/>
      <c r="N36" s="334"/>
      <c r="O36" s="334"/>
      <c r="P36" s="38"/>
      <c r="Q36" s="45"/>
      <c r="R36" s="164"/>
      <c r="S36" s="164"/>
      <c r="T36"/>
      <c r="V36" s="160"/>
      <c r="W36" s="160"/>
      <c r="X36" s="160"/>
      <c r="Y36" s="160"/>
      <c r="Z36" s="160"/>
      <c r="AA36" s="160"/>
      <c r="AB36" s="160"/>
      <c r="AC36" s="160"/>
      <c r="AD36" s="160"/>
    </row>
    <row r="37" spans="1:31" ht="18" customHeight="1" x14ac:dyDescent="0.25">
      <c r="A37" s="36"/>
      <c r="B37" s="81" t="s">
        <v>681</v>
      </c>
      <c r="C37" s="292"/>
      <c r="D37" s="81"/>
      <c r="E37" s="81"/>
      <c r="F37" s="81"/>
      <c r="G37" s="81"/>
      <c r="H37" s="81"/>
      <c r="I37" s="81"/>
      <c r="J37" s="81"/>
      <c r="K37" s="81"/>
      <c r="L37" s="81"/>
      <c r="M37" s="81"/>
      <c r="N37" s="81"/>
      <c r="O37" s="38"/>
      <c r="P37" s="38"/>
      <c r="Q37" s="45"/>
      <c r="R37" s="164"/>
      <c r="S37" s="164"/>
      <c r="T37"/>
      <c r="V37" s="160"/>
      <c r="W37" s="160"/>
      <c r="X37" s="160"/>
      <c r="Y37" s="160"/>
      <c r="Z37" s="160"/>
      <c r="AA37" s="160"/>
      <c r="AB37" s="160"/>
      <c r="AC37" s="160"/>
      <c r="AD37" s="160"/>
    </row>
    <row r="38" spans="1:31" ht="18" customHeight="1" x14ac:dyDescent="0.3">
      <c r="A38" s="36"/>
      <c r="B38" s="81" t="s">
        <v>539</v>
      </c>
      <c r="C38" s="292"/>
      <c r="D38" s="81"/>
      <c r="E38" s="81"/>
      <c r="F38" s="81"/>
      <c r="G38" s="81"/>
      <c r="H38" s="81"/>
      <c r="I38" s="81"/>
      <c r="J38" s="81"/>
      <c r="K38" s="81"/>
      <c r="L38" s="81"/>
      <c r="M38" s="81"/>
      <c r="N38" s="81"/>
      <c r="O38" s="38"/>
      <c r="P38" s="38"/>
      <c r="Q38" s="45"/>
      <c r="R38" s="164"/>
      <c r="S38" s="164"/>
      <c r="T38"/>
      <c r="V38" s="160"/>
      <c r="W38" s="160"/>
      <c r="X38" s="160"/>
      <c r="Y38" s="160"/>
      <c r="Z38" s="160"/>
      <c r="AA38" s="160"/>
      <c r="AB38" s="160"/>
      <c r="AC38" s="160"/>
      <c r="AD38" s="160"/>
    </row>
    <row r="39" spans="1:31" ht="18" customHeight="1" x14ac:dyDescent="0.3">
      <c r="A39" s="36"/>
      <c r="B39" s="122" t="s">
        <v>378</v>
      </c>
      <c r="C39" s="292"/>
      <c r="D39" s="81"/>
      <c r="E39" s="81"/>
      <c r="F39" s="81"/>
      <c r="G39" s="81"/>
      <c r="H39" s="81"/>
      <c r="I39" s="81"/>
      <c r="J39" s="81"/>
      <c r="K39" s="81"/>
      <c r="L39" s="81"/>
      <c r="M39" s="81"/>
      <c r="N39" s="81"/>
      <c r="O39" s="38"/>
      <c r="P39" s="38"/>
      <c r="Q39" s="45"/>
      <c r="R39" s="164"/>
      <c r="S39" s="164"/>
      <c r="T39"/>
      <c r="V39" s="160"/>
      <c r="W39" s="160"/>
      <c r="X39" s="160"/>
      <c r="Y39" s="160"/>
      <c r="Z39" s="160"/>
      <c r="AA39" s="160"/>
      <c r="AB39" s="160"/>
      <c r="AC39" s="160"/>
      <c r="AD39" s="160"/>
    </row>
    <row r="40" spans="1:31" ht="15" customHeight="1" x14ac:dyDescent="0.25">
      <c r="A40" s="36"/>
      <c r="B40" s="38"/>
      <c r="C40" s="81"/>
      <c r="D40" s="81"/>
      <c r="E40" s="81"/>
      <c r="F40" s="81"/>
      <c r="G40" s="81"/>
      <c r="H40" s="81"/>
      <c r="I40" s="81"/>
      <c r="J40" s="81"/>
      <c r="K40" s="81"/>
      <c r="L40" s="203"/>
      <c r="M40" s="81"/>
      <c r="N40" s="81"/>
      <c r="O40" s="38"/>
      <c r="P40" s="38"/>
      <c r="Q40" s="45"/>
      <c r="R40" s="164"/>
      <c r="S40" s="164"/>
      <c r="T40"/>
      <c r="U40" s="160"/>
      <c r="V40" s="160"/>
      <c r="W40" s="160"/>
      <c r="X40" s="160"/>
      <c r="Y40" s="160"/>
      <c r="Z40" s="160"/>
      <c r="AA40" s="160"/>
      <c r="AB40" s="160"/>
      <c r="AC40" s="160"/>
      <c r="AD40" s="160"/>
    </row>
    <row r="41" spans="1:31" ht="30.6" customHeight="1" x14ac:dyDescent="0.3">
      <c r="A41" s="36"/>
      <c r="B41" s="37"/>
      <c r="C41" s="81"/>
      <c r="D41" s="747" t="s">
        <v>314</v>
      </c>
      <c r="E41" s="748"/>
      <c r="F41" s="747" t="s">
        <v>315</v>
      </c>
      <c r="G41" s="751"/>
      <c r="H41" s="748"/>
      <c r="I41" s="81"/>
      <c r="J41" s="81"/>
      <c r="K41" s="81"/>
      <c r="L41" s="81"/>
      <c r="M41" s="81"/>
      <c r="N41" s="81"/>
      <c r="O41" s="81"/>
      <c r="P41" s="38"/>
      <c r="Q41" s="45"/>
      <c r="T41"/>
      <c r="V41" s="160"/>
      <c r="W41" s="160"/>
      <c r="X41" s="160"/>
      <c r="Y41" s="160"/>
      <c r="Z41" s="160"/>
      <c r="AA41" s="160"/>
      <c r="AB41" s="160"/>
      <c r="AC41" s="160"/>
      <c r="AD41" s="160"/>
    </row>
    <row r="42" spans="1:31" ht="55.2" x14ac:dyDescent="0.25">
      <c r="A42" s="36"/>
      <c r="B42" s="81"/>
      <c r="C42" s="81"/>
      <c r="D42" s="206" t="s">
        <v>700</v>
      </c>
      <c r="E42" s="294" t="s">
        <v>243</v>
      </c>
      <c r="F42" s="206" t="s">
        <v>700</v>
      </c>
      <c r="G42" s="294" t="s">
        <v>243</v>
      </c>
      <c r="H42" s="294" t="s">
        <v>338</v>
      </c>
      <c r="I42" s="81"/>
      <c r="J42" s="294" t="s">
        <v>622</v>
      </c>
      <c r="K42" s="294" t="s">
        <v>470</v>
      </c>
      <c r="L42" s="81"/>
      <c r="M42" s="81"/>
      <c r="N42" s="81"/>
      <c r="O42" s="81"/>
      <c r="P42" s="38"/>
      <c r="Q42" s="45"/>
      <c r="T42"/>
      <c r="V42" s="160"/>
      <c r="W42" s="160"/>
      <c r="X42" s="160"/>
      <c r="Y42" s="160"/>
      <c r="Z42" s="160"/>
      <c r="AA42" s="160"/>
      <c r="AB42" s="160"/>
      <c r="AC42" s="160"/>
      <c r="AD42" s="160"/>
    </row>
    <row r="43" spans="1:31" ht="15" hidden="1" customHeight="1" x14ac:dyDescent="0.25">
      <c r="A43" s="36"/>
      <c r="B43" s="295"/>
      <c r="C43" s="295"/>
      <c r="D43" s="296">
        <v>1</v>
      </c>
      <c r="E43" s="297"/>
      <c r="F43" s="295"/>
      <c r="G43" s="295"/>
      <c r="H43" s="295"/>
      <c r="I43" s="81"/>
      <c r="J43" s="296">
        <v>1</v>
      </c>
      <c r="K43" s="81"/>
      <c r="L43" s="81"/>
      <c r="M43" s="81"/>
      <c r="N43" s="81"/>
      <c r="O43" s="81"/>
      <c r="P43" s="38"/>
      <c r="Q43" s="45"/>
      <c r="T43"/>
      <c r="V43" s="160"/>
      <c r="W43" s="160"/>
      <c r="X43" s="160"/>
      <c r="Y43" s="160"/>
      <c r="Z43" s="160"/>
      <c r="AA43" s="160"/>
      <c r="AB43" s="160"/>
      <c r="AC43" s="160"/>
      <c r="AD43" s="160"/>
    </row>
    <row r="44" spans="1:31" ht="15" x14ac:dyDescent="0.25">
      <c r="A44" s="36"/>
      <c r="B44" s="298" t="s">
        <v>254</v>
      </c>
      <c r="C44" s="299" t="str">
        <f>INDEX('WK0 - Input data'!$E$23:$E$30,MATCH($B44,'WK0 - Input data'!$C$23:$C$30,0))</f>
        <v>2017-18</v>
      </c>
      <c r="D44" s="342"/>
      <c r="E44" s="342"/>
      <c r="F44" s="343"/>
      <c r="G44" s="343"/>
      <c r="H44" s="343"/>
      <c r="I44" s="81"/>
      <c r="J44" s="581">
        <v>115277</v>
      </c>
      <c r="K44" s="340">
        <f>J44/'WK4 - PGI summary'!H10</f>
        <v>3.9174907071805329E-3</v>
      </c>
      <c r="L44" s="81"/>
      <c r="M44" s="81"/>
      <c r="N44" s="81"/>
      <c r="O44" s="81"/>
      <c r="P44" s="38"/>
      <c r="Q44" s="45"/>
      <c r="T44"/>
      <c r="V44" s="160"/>
      <c r="W44" s="160"/>
      <c r="X44" s="160"/>
      <c r="Y44" s="160"/>
      <c r="Z44" s="160"/>
      <c r="AA44" s="160"/>
      <c r="AB44" s="160"/>
      <c r="AC44" s="160"/>
      <c r="AD44" s="160"/>
    </row>
    <row r="45" spans="1:31" ht="15" x14ac:dyDescent="0.25">
      <c r="A45" s="36"/>
      <c r="B45" s="298" t="s">
        <v>234</v>
      </c>
      <c r="C45" s="299" t="str">
        <f>INDEX('WK0 - Input data'!$E$23:$E$30,MATCH($B45,'WK0 - Input data'!$C$23:$C$30,0))</f>
        <v>2018-19</v>
      </c>
      <c r="D45" s="492">
        <f>E45+L24+M33</f>
        <v>2.7099999999999999E-2</v>
      </c>
      <c r="E45" s="340">
        <f>INDEX('WK0 - Input data'!$F$23:$F$30,MATCH($B45,'WK0 - Input data'!$C$23:$C$30,0))</f>
        <v>2.3E-2</v>
      </c>
      <c r="F45" s="300">
        <f>IF(D45=0,"",D45)</f>
        <v>2.7099999999999999E-2</v>
      </c>
      <c r="G45" s="340">
        <f>IF(E45="","",E45)</f>
        <v>2.3E-2</v>
      </c>
      <c r="H45" s="340">
        <f>IF(D45=0,"",F45-G45)</f>
        <v>4.0999999999999995E-3</v>
      </c>
      <c r="I45" s="81"/>
      <c r="J45" s="581"/>
      <c r="K45" s="81"/>
      <c r="L45" s="81"/>
      <c r="M45" s="81"/>
      <c r="N45" s="81"/>
      <c r="O45" s="81"/>
      <c r="P45" s="38"/>
      <c r="Q45" s="45"/>
      <c r="T45"/>
      <c r="V45" s="160"/>
      <c r="W45" s="160"/>
      <c r="X45" s="160"/>
      <c r="Y45" s="160"/>
      <c r="Z45" s="160"/>
      <c r="AA45" s="160"/>
      <c r="AB45" s="160"/>
      <c r="AC45" s="160"/>
      <c r="AD45" s="160"/>
    </row>
    <row r="46" spans="1:31" ht="15" x14ac:dyDescent="0.25">
      <c r="A46" s="36"/>
      <c r="B46" s="298" t="s">
        <v>235</v>
      </c>
      <c r="C46" s="299" t="str">
        <f>INDEX('WK0 - Input data'!$E$23:$E$30,MATCH($B46,'WK0 - Input data'!$C$23:$C$30,0))</f>
        <v>2019-20</v>
      </c>
      <c r="D46" s="578">
        <v>2.5000000000000001E-2</v>
      </c>
      <c r="E46" s="340">
        <f>INDEX('WK0 - Input data'!$F$23:$F$30,MATCH($B46,'WK0 - Input data'!$C$23:$C$30,0))</f>
        <v>2.5000000000000001E-2</v>
      </c>
      <c r="F46" s="300">
        <f t="shared" ref="F46:F51" si="0">IF(D46=0,"",($D$43+F45)*D46+F45)</f>
        <v>5.2777499999999998E-2</v>
      </c>
      <c r="G46" s="340">
        <f t="shared" ref="G46:G51" si="1">IF(E46="","",($D$43+G45)*E46+G45)</f>
        <v>4.8575E-2</v>
      </c>
      <c r="H46" s="340">
        <f t="shared" ref="H46:H51" si="2">IF(D46="","",F46-G46)</f>
        <v>4.2024999999999979E-3</v>
      </c>
      <c r="I46" s="81"/>
      <c r="J46" s="581"/>
      <c r="K46" s="81"/>
      <c r="L46" s="81"/>
      <c r="M46" s="81"/>
      <c r="N46" s="81"/>
      <c r="O46" s="81"/>
      <c r="P46" s="38"/>
      <c r="Q46" s="45"/>
      <c r="T46"/>
      <c r="V46" s="160"/>
      <c r="W46" s="160"/>
      <c r="X46" s="160"/>
      <c r="Y46" s="160"/>
      <c r="Z46" s="160"/>
      <c r="AA46" s="160"/>
      <c r="AB46" s="160"/>
      <c r="AC46" s="160"/>
      <c r="AD46" s="160"/>
    </row>
    <row r="47" spans="1:31" ht="15" x14ac:dyDescent="0.25">
      <c r="A47" s="36"/>
      <c r="B47" s="298" t="s">
        <v>236</v>
      </c>
      <c r="C47" s="299" t="str">
        <f>INDEX('WK0 - Input data'!$E$23:$E$30,MATCH($B47,'WK0 - Input data'!$C$23:$C$30,0))</f>
        <v>2020-21</v>
      </c>
      <c r="D47" s="578">
        <v>2.5000000000000001E-2</v>
      </c>
      <c r="E47" s="340">
        <f>INDEX('WK0 - Input data'!$F$23:$F$30,MATCH($B47,'WK0 - Input data'!$C$23:$C$30,0))</f>
        <v>2.5000000000000001E-2</v>
      </c>
      <c r="F47" s="300">
        <f t="shared" si="0"/>
        <v>7.9096937499999992E-2</v>
      </c>
      <c r="G47" s="340">
        <f t="shared" si="1"/>
        <v>7.4789375000000005E-2</v>
      </c>
      <c r="H47" s="340">
        <f t="shared" si="2"/>
        <v>4.3075624999999867E-3</v>
      </c>
      <c r="I47" s="81"/>
      <c r="J47" s="581"/>
      <c r="K47" s="81"/>
      <c r="L47" s="81"/>
      <c r="M47" s="81"/>
      <c r="N47" s="81"/>
      <c r="O47" s="81"/>
      <c r="P47" s="38"/>
      <c r="Q47" s="45"/>
      <c r="T47"/>
      <c r="V47" s="160"/>
      <c r="W47" s="160"/>
      <c r="X47" s="160"/>
      <c r="Y47" s="160"/>
      <c r="Z47" s="160"/>
      <c r="AA47" s="160"/>
      <c r="AB47" s="160"/>
      <c r="AC47" s="160"/>
      <c r="AD47" s="160"/>
    </row>
    <row r="48" spans="1:31" ht="15" x14ac:dyDescent="0.25">
      <c r="A48" s="36"/>
      <c r="B48" s="298" t="s">
        <v>237</v>
      </c>
      <c r="C48" s="299" t="str">
        <f>INDEX('WK0 - Input data'!$E$23:$E$30,MATCH($B48,'WK0 - Input data'!$C$23:$C$30,0))</f>
        <v>2021-22</v>
      </c>
      <c r="D48" s="578">
        <v>2.5000000000000001E-2</v>
      </c>
      <c r="E48" s="340">
        <f>INDEX('WK0 - Input data'!$F$23:$F$30,MATCH($B48,'WK0 - Input data'!$C$23:$C$30,0))</f>
        <v>2.5000000000000001E-2</v>
      </c>
      <c r="F48" s="300">
        <f t="shared" si="0"/>
        <v>0.10607436093749999</v>
      </c>
      <c r="G48" s="340">
        <f t="shared" si="1"/>
        <v>0.101659109375</v>
      </c>
      <c r="H48" s="340">
        <f t="shared" si="2"/>
        <v>4.4152515624999861E-3</v>
      </c>
      <c r="I48" s="81"/>
      <c r="J48" s="581"/>
      <c r="K48" s="81"/>
      <c r="L48" s="81"/>
      <c r="M48" s="81"/>
      <c r="N48" s="81"/>
      <c r="O48" s="81"/>
      <c r="P48" s="38"/>
      <c r="Q48" s="45"/>
      <c r="T48"/>
      <c r="V48" s="160"/>
      <c r="W48" s="160"/>
      <c r="X48" s="160"/>
      <c r="Y48" s="160"/>
      <c r="Z48" s="160"/>
      <c r="AA48" s="160"/>
      <c r="AB48" s="160"/>
      <c r="AC48" s="160"/>
      <c r="AD48" s="160"/>
    </row>
    <row r="49" spans="1:30" ht="15" x14ac:dyDescent="0.25">
      <c r="A49" s="36"/>
      <c r="B49" s="298" t="s">
        <v>238</v>
      </c>
      <c r="C49" s="299" t="str">
        <f>INDEX('WK0 - Input data'!$E$23:$E$30,MATCH($B49,'WK0 - Input data'!$C$23:$C$30,0))</f>
        <v>2022-23</v>
      </c>
      <c r="D49" s="582">
        <v>2.5000000000000001E-2</v>
      </c>
      <c r="E49" s="340">
        <f>INDEX('WK0 - Input data'!$F$23:$F$30,MATCH($B49,'WK0 - Input data'!$C$23:$C$30,0))</f>
        <v>2.5000000000000001E-2</v>
      </c>
      <c r="F49" s="300">
        <f t="shared" si="0"/>
        <v>0.13372621996093748</v>
      </c>
      <c r="G49" s="340">
        <f t="shared" si="1"/>
        <v>0.12920058710937499</v>
      </c>
      <c r="H49" s="340">
        <f t="shared" si="2"/>
        <v>4.5256328515624888E-3</v>
      </c>
      <c r="I49" s="81"/>
      <c r="J49" s="581"/>
      <c r="K49" s="81"/>
      <c r="L49" s="81"/>
      <c r="M49" s="81"/>
      <c r="N49" s="81"/>
      <c r="O49" s="81"/>
      <c r="P49" s="38"/>
      <c r="Q49" s="45"/>
      <c r="T49"/>
      <c r="V49" s="160"/>
      <c r="W49" s="160"/>
      <c r="X49" s="160"/>
      <c r="Y49" s="160"/>
      <c r="Z49" s="160"/>
      <c r="AA49" s="160"/>
      <c r="AB49" s="160"/>
      <c r="AC49" s="160"/>
      <c r="AD49" s="160"/>
    </row>
    <row r="50" spans="1:30" ht="15" x14ac:dyDescent="0.25">
      <c r="A50" s="36"/>
      <c r="B50" s="298" t="s">
        <v>239</v>
      </c>
      <c r="C50" s="299" t="str">
        <f>INDEX('WK0 - Input data'!$E$23:$E$30,MATCH($B50,'WK0 - Input data'!$C$23:$C$30,0))</f>
        <v>2023-24</v>
      </c>
      <c r="D50" s="582">
        <v>2.5000000000000001E-2</v>
      </c>
      <c r="E50" s="340">
        <f>INDEX('WK0 - Input data'!$F$23:$F$30,MATCH($B50,'WK0 - Input data'!$C$23:$C$30,0))</f>
        <v>2.5000000000000001E-2</v>
      </c>
      <c r="F50" s="300">
        <f t="shared" si="0"/>
        <v>0.16206937545996092</v>
      </c>
      <c r="G50" s="340">
        <f t="shared" si="1"/>
        <v>0.15743060178710935</v>
      </c>
      <c r="H50" s="340">
        <f t="shared" si="2"/>
        <v>4.6387736728515649E-3</v>
      </c>
      <c r="I50" s="81"/>
      <c r="J50" s="581"/>
      <c r="K50" s="81"/>
      <c r="L50" s="81"/>
      <c r="M50" s="81"/>
      <c r="N50" s="81"/>
      <c r="O50" s="81"/>
      <c r="P50" s="38"/>
      <c r="Q50" s="45"/>
      <c r="T50"/>
      <c r="V50" s="160"/>
      <c r="W50" s="160"/>
      <c r="X50" s="160"/>
      <c r="Y50" s="160"/>
      <c r="Z50" s="160"/>
      <c r="AA50" s="160"/>
      <c r="AB50" s="160"/>
      <c r="AC50" s="160"/>
      <c r="AD50" s="160"/>
    </row>
    <row r="51" spans="1:30" ht="15" x14ac:dyDescent="0.25">
      <c r="A51" s="36"/>
      <c r="B51" s="298" t="s">
        <v>240</v>
      </c>
      <c r="C51" s="299" t="str">
        <f>INDEX('WK0 - Input data'!$E$23:$E$30,MATCH($B51,'WK0 - Input data'!$C$23:$C$30,0))</f>
        <v>2024-25</v>
      </c>
      <c r="D51" s="582">
        <v>2.5000000000000001E-2</v>
      </c>
      <c r="E51" s="340">
        <f>INDEX('WK0 - Input data'!$F$23:$F$30,MATCH($B51,'WK0 - Input data'!$C$23:$C$30,0))</f>
        <v>2.5000000000000001E-2</v>
      </c>
      <c r="F51" s="300">
        <f t="shared" si="0"/>
        <v>0.19112110984645994</v>
      </c>
      <c r="G51" s="340">
        <f t="shared" si="1"/>
        <v>0.18636636683178709</v>
      </c>
      <c r="H51" s="340">
        <f t="shared" si="2"/>
        <v>4.754743014672852E-3</v>
      </c>
      <c r="I51" s="81"/>
      <c r="J51" s="581"/>
      <c r="K51" s="81"/>
      <c r="L51" s="81"/>
      <c r="M51" s="81"/>
      <c r="N51" s="81"/>
      <c r="O51" s="81"/>
      <c r="P51" s="38"/>
      <c r="Q51" s="45"/>
      <c r="T51"/>
      <c r="V51" s="160"/>
      <c r="W51" s="160"/>
      <c r="X51" s="160"/>
      <c r="Y51" s="160"/>
      <c r="Z51" s="160"/>
      <c r="AA51" s="160"/>
      <c r="AB51" s="160"/>
      <c r="AC51" s="160"/>
      <c r="AD51" s="160"/>
    </row>
    <row r="52" spans="1:30" ht="15" x14ac:dyDescent="0.25">
      <c r="A52" s="36"/>
      <c r="B52" s="292"/>
      <c r="C52" s="369"/>
      <c r="D52" s="372"/>
      <c r="E52" s="370"/>
      <c r="F52" s="371"/>
      <c r="G52" s="370"/>
      <c r="H52" s="81"/>
      <c r="I52" s="81"/>
      <c r="J52" s="81"/>
      <c r="K52" s="81"/>
      <c r="L52" s="81"/>
      <c r="M52" s="81"/>
      <c r="N52" s="81"/>
      <c r="O52" s="81"/>
      <c r="P52" s="38"/>
      <c r="Q52" s="45"/>
      <c r="T52"/>
      <c r="V52" s="160"/>
      <c r="W52" s="160"/>
      <c r="X52" s="160"/>
      <c r="Y52" s="160"/>
      <c r="Z52" s="160"/>
      <c r="AA52" s="160"/>
      <c r="AB52" s="160"/>
      <c r="AC52" s="160"/>
      <c r="AD52" s="160"/>
    </row>
    <row r="53" spans="1:30" s="406" customFormat="1" ht="27.75" customHeight="1" x14ac:dyDescent="0.3">
      <c r="A53" s="409"/>
      <c r="B53" s="410" t="s">
        <v>345</v>
      </c>
      <c r="D53" s="411"/>
      <c r="F53" s="411"/>
      <c r="G53" s="411"/>
      <c r="H53" s="411"/>
      <c r="I53" s="411"/>
      <c r="J53" s="411"/>
      <c r="K53" s="411"/>
      <c r="L53" s="411"/>
      <c r="M53" s="411"/>
      <c r="N53" s="411"/>
      <c r="O53" s="411"/>
      <c r="P53" s="411"/>
      <c r="Q53" s="412"/>
      <c r="R53" s="413"/>
      <c r="S53" s="413"/>
      <c r="T53" s="413"/>
      <c r="U53" s="414"/>
      <c r="V53" s="413"/>
      <c r="W53" s="413"/>
      <c r="X53" s="413"/>
      <c r="Y53" s="413"/>
      <c r="Z53" s="413"/>
      <c r="AA53" s="413"/>
      <c r="AB53" s="413"/>
      <c r="AC53" s="413"/>
      <c r="AD53" s="413"/>
    </row>
    <row r="54" spans="1:30" s="406" customFormat="1" x14ac:dyDescent="0.2">
      <c r="A54" s="409"/>
      <c r="B54" s="411"/>
      <c r="C54" s="411"/>
      <c r="D54" s="411"/>
      <c r="E54" s="411"/>
      <c r="F54" s="411"/>
      <c r="G54" s="411"/>
      <c r="H54" s="411"/>
      <c r="I54" s="411"/>
      <c r="J54" s="411"/>
      <c r="K54" s="411"/>
      <c r="L54" s="411"/>
      <c r="M54" s="411"/>
      <c r="N54" s="411"/>
      <c r="O54" s="411"/>
      <c r="P54" s="411"/>
      <c r="Q54" s="412"/>
      <c r="R54" s="413"/>
      <c r="S54" s="413"/>
      <c r="T54" s="413"/>
      <c r="U54" s="413"/>
      <c r="V54" s="413"/>
      <c r="W54" s="413"/>
      <c r="X54" s="413"/>
      <c r="Y54" s="413"/>
      <c r="Z54" s="413"/>
      <c r="AA54" s="413"/>
      <c r="AB54" s="413"/>
      <c r="AC54" s="413"/>
      <c r="AD54" s="413"/>
    </row>
    <row r="55" spans="1:30" s="406" customFormat="1" ht="69.75" customHeight="1" x14ac:dyDescent="0.25">
      <c r="A55" s="409"/>
      <c r="B55" s="415"/>
      <c r="C55" s="416"/>
      <c r="D55" s="417" t="s">
        <v>444</v>
      </c>
      <c r="E55" s="418" t="s">
        <v>682</v>
      </c>
      <c r="F55" s="418" t="str">
        <f>K69</f>
        <v>Annual $ increase in PGI</v>
      </c>
      <c r="G55" s="418" t="str">
        <f>L69</f>
        <v>Annual % increase in PGI</v>
      </c>
      <c r="H55" s="417" t="str">
        <f>N69</f>
        <v>Annual $ increase in PGI above the rate peg</v>
      </c>
      <c r="I55" s="411"/>
      <c r="J55" s="411"/>
      <c r="K55" s="411"/>
      <c r="L55" s="411"/>
      <c r="M55" s="411"/>
      <c r="N55" s="411"/>
      <c r="O55" s="411"/>
      <c r="P55" s="411"/>
      <c r="Q55" s="412"/>
      <c r="R55" s="413"/>
      <c r="S55" s="413"/>
      <c r="T55" s="413"/>
      <c r="U55" s="413"/>
      <c r="V55" s="413"/>
      <c r="W55" s="413"/>
      <c r="X55" s="413"/>
      <c r="Y55" s="413"/>
      <c r="Z55" s="413"/>
      <c r="AA55" s="413"/>
      <c r="AB55" s="413"/>
      <c r="AC55" s="413"/>
    </row>
    <row r="56" spans="1:30" s="406" customFormat="1" ht="13.8" x14ac:dyDescent="0.25">
      <c r="A56" s="409"/>
      <c r="B56" s="419" t="s">
        <v>254</v>
      </c>
      <c r="C56" s="420" t="str">
        <f>C44</f>
        <v>2017-18</v>
      </c>
      <c r="D56" s="423">
        <f>J70</f>
        <v>29426234.448675003</v>
      </c>
      <c r="E56" s="423">
        <f>J44</f>
        <v>115277</v>
      </c>
      <c r="F56" s="423"/>
      <c r="G56" s="421"/>
      <c r="H56" s="421"/>
      <c r="I56" s="411"/>
      <c r="J56" s="411"/>
      <c r="K56" s="536"/>
      <c r="L56" s="411"/>
      <c r="M56" s="411"/>
      <c r="N56" s="411"/>
      <c r="O56" s="411"/>
      <c r="P56" s="411"/>
      <c r="Q56" s="412"/>
      <c r="R56" s="414"/>
      <c r="S56" s="414"/>
      <c r="T56" s="413"/>
      <c r="U56" s="413"/>
      <c r="V56" s="413"/>
      <c r="W56" s="413"/>
      <c r="X56" s="413"/>
      <c r="Y56" s="413"/>
      <c r="Z56" s="413"/>
      <c r="AA56" s="413"/>
      <c r="AB56" s="413"/>
      <c r="AC56" s="413"/>
    </row>
    <row r="57" spans="1:30" s="406" customFormat="1" ht="13.8" x14ac:dyDescent="0.25">
      <c r="A57" s="409"/>
      <c r="B57" s="419" t="s">
        <v>234</v>
      </c>
      <c r="C57" s="420" t="str">
        <f t="shared" ref="C57:C63" si="3">C45</f>
        <v>2018-19</v>
      </c>
      <c r="D57" s="423">
        <f t="shared" ref="D57:D63" si="4">J71</f>
        <v>30106542.395534094</v>
      </c>
      <c r="E57" s="423">
        <f t="shared" ref="E57:E63" si="5">J45</f>
        <v>0</v>
      </c>
      <c r="F57" s="423">
        <f t="shared" ref="F57:G63" si="6">K71</f>
        <v>680307.94685909152</v>
      </c>
      <c r="G57" s="461">
        <f t="shared" si="6"/>
        <v>2.311909626240749</v>
      </c>
      <c r="H57" s="462">
        <f t="shared" ref="H57:H63" si="7">N71</f>
        <v>118916.92553956807</v>
      </c>
      <c r="I57" s="537"/>
      <c r="J57" s="535"/>
      <c r="K57" s="538"/>
      <c r="L57" s="411"/>
      <c r="M57" s="411"/>
      <c r="N57" s="411"/>
      <c r="O57" s="411"/>
      <c r="P57" s="411"/>
      <c r="Q57" s="412"/>
      <c r="R57" s="414"/>
      <c r="S57" s="414"/>
      <c r="T57" s="413"/>
      <c r="U57" s="413"/>
      <c r="V57" s="413"/>
      <c r="W57" s="413"/>
      <c r="X57" s="413"/>
      <c r="Y57" s="413"/>
      <c r="Z57" s="413"/>
      <c r="AA57" s="413"/>
      <c r="AB57" s="413"/>
      <c r="AC57" s="413"/>
    </row>
    <row r="58" spans="1:30" s="406" customFormat="1" ht="13.8" x14ac:dyDescent="0.25">
      <c r="A58" s="409"/>
      <c r="B58" s="419" t="s">
        <v>235</v>
      </c>
      <c r="C58" s="420" t="str">
        <f t="shared" si="3"/>
        <v>2019-20</v>
      </c>
      <c r="D58" s="423">
        <f t="shared" si="4"/>
        <v>30859205.955422442</v>
      </c>
      <c r="E58" s="423">
        <f t="shared" si="5"/>
        <v>0</v>
      </c>
      <c r="F58" s="423">
        <f t="shared" si="6"/>
        <v>752663.55988834798</v>
      </c>
      <c r="G58" s="461">
        <f t="shared" si="6"/>
        <v>2.4999999999999911</v>
      </c>
      <c r="H58" s="462">
        <f t="shared" si="7"/>
        <v>3004.373138487339</v>
      </c>
      <c r="I58" s="411"/>
      <c r="J58" s="411"/>
      <c r="K58" s="411"/>
      <c r="L58" s="411"/>
      <c r="M58" s="411"/>
      <c r="N58" s="411"/>
      <c r="O58" s="411"/>
      <c r="P58" s="411"/>
      <c r="Q58" s="412"/>
      <c r="R58" s="414"/>
      <c r="S58" s="414"/>
      <c r="T58" s="413"/>
      <c r="U58" s="413"/>
      <c r="V58" s="413"/>
      <c r="W58" s="413"/>
      <c r="X58" s="413"/>
      <c r="Y58" s="413"/>
      <c r="Z58" s="413"/>
      <c r="AA58" s="413"/>
      <c r="AB58" s="413"/>
      <c r="AC58" s="413"/>
    </row>
    <row r="59" spans="1:30" s="406" customFormat="1" ht="13.8" x14ac:dyDescent="0.25">
      <c r="A59" s="409"/>
      <c r="B59" s="419" t="s">
        <v>236</v>
      </c>
      <c r="C59" s="420" t="str">
        <f t="shared" si="3"/>
        <v>2020-21</v>
      </c>
      <c r="D59" s="423">
        <f t="shared" si="4"/>
        <v>31630686.104308002</v>
      </c>
      <c r="E59" s="423">
        <f t="shared" si="5"/>
        <v>0</v>
      </c>
      <c r="F59" s="423">
        <f t="shared" si="6"/>
        <v>771480.14888555929</v>
      </c>
      <c r="G59" s="461">
        <f t="shared" si="6"/>
        <v>2.4999999999999911</v>
      </c>
      <c r="H59" s="462">
        <f t="shared" si="7"/>
        <v>3079.4824669510126</v>
      </c>
      <c r="I59" s="411"/>
      <c r="J59" s="411"/>
      <c r="K59" s="411"/>
      <c r="L59" s="411"/>
      <c r="M59" s="411"/>
      <c r="N59" s="411"/>
      <c r="O59" s="411"/>
      <c r="P59" s="411"/>
      <c r="Q59" s="412"/>
      <c r="R59" s="414"/>
      <c r="S59" s="414"/>
      <c r="T59" s="413"/>
      <c r="U59" s="413"/>
      <c r="V59" s="413"/>
      <c r="W59" s="413"/>
      <c r="X59" s="413"/>
      <c r="Y59" s="413"/>
      <c r="Z59" s="413"/>
      <c r="AA59" s="413"/>
      <c r="AB59" s="413"/>
      <c r="AC59" s="413"/>
    </row>
    <row r="60" spans="1:30" s="406" customFormat="1" ht="13.8" x14ac:dyDescent="0.25">
      <c r="A60" s="409"/>
      <c r="B60" s="419" t="s">
        <v>237</v>
      </c>
      <c r="C60" s="420" t="str">
        <f t="shared" si="3"/>
        <v>2021-22</v>
      </c>
      <c r="D60" s="423">
        <f t="shared" si="4"/>
        <v>32421453.2569157</v>
      </c>
      <c r="E60" s="423">
        <f t="shared" si="5"/>
        <v>0</v>
      </c>
      <c r="F60" s="423">
        <f t="shared" si="6"/>
        <v>790767.15260769799</v>
      </c>
      <c r="G60" s="461">
        <f t="shared" si="6"/>
        <v>2.4999999999999911</v>
      </c>
      <c r="H60" s="462">
        <f t="shared" si="7"/>
        <v>3156.4695286266506</v>
      </c>
      <c r="I60" s="411"/>
      <c r="J60" s="411"/>
      <c r="K60" s="411"/>
      <c r="L60" s="411"/>
      <c r="M60" s="411"/>
      <c r="N60" s="411"/>
      <c r="O60" s="411"/>
      <c r="P60" s="411"/>
      <c r="Q60" s="412"/>
      <c r="R60" s="414"/>
      <c r="S60" s="414"/>
      <c r="T60" s="413"/>
      <c r="U60" s="413"/>
      <c r="V60" s="413"/>
      <c r="W60" s="413"/>
      <c r="X60" s="413"/>
      <c r="Y60" s="413"/>
      <c r="Z60" s="413"/>
      <c r="AA60" s="413"/>
      <c r="AB60" s="413"/>
      <c r="AC60" s="413"/>
    </row>
    <row r="61" spans="1:30" s="406" customFormat="1" ht="13.8" x14ac:dyDescent="0.25">
      <c r="A61" s="409"/>
      <c r="B61" s="419" t="s">
        <v>238</v>
      </c>
      <c r="C61" s="420" t="str">
        <f t="shared" si="3"/>
        <v>2022-23</v>
      </c>
      <c r="D61" s="423">
        <f t="shared" si="4"/>
        <v>33231989.588338591</v>
      </c>
      <c r="E61" s="423">
        <f t="shared" si="5"/>
        <v>0</v>
      </c>
      <c r="F61" s="423">
        <f t="shared" si="6"/>
        <v>810536.33142289147</v>
      </c>
      <c r="G61" s="461">
        <f t="shared" si="6"/>
        <v>2.4999999999999911</v>
      </c>
      <c r="H61" s="462">
        <f t="shared" si="7"/>
        <v>3235.3812668435276</v>
      </c>
      <c r="I61" s="411"/>
      <c r="J61" s="411"/>
      <c r="K61" s="411"/>
      <c r="L61" s="411"/>
      <c r="M61" s="411"/>
      <c r="N61" s="411"/>
      <c r="O61" s="411"/>
      <c r="P61" s="411"/>
      <c r="Q61" s="412"/>
      <c r="R61" s="414"/>
      <c r="S61" s="414"/>
      <c r="T61" s="413"/>
      <c r="U61" s="413"/>
      <c r="V61" s="413"/>
      <c r="W61" s="413"/>
      <c r="X61" s="413"/>
      <c r="Y61" s="413"/>
      <c r="Z61" s="413"/>
      <c r="AA61" s="413"/>
      <c r="AB61" s="413"/>
      <c r="AC61" s="413"/>
    </row>
    <row r="62" spans="1:30" s="406" customFormat="1" ht="13.8" x14ac:dyDescent="0.25">
      <c r="A62" s="409"/>
      <c r="B62" s="419" t="s">
        <v>239</v>
      </c>
      <c r="C62" s="420" t="str">
        <f t="shared" si="3"/>
        <v>2023-24</v>
      </c>
      <c r="D62" s="423">
        <f t="shared" si="4"/>
        <v>34062789.328047052</v>
      </c>
      <c r="E62" s="423">
        <f t="shared" si="5"/>
        <v>0</v>
      </c>
      <c r="F62" s="423">
        <f t="shared" si="6"/>
        <v>830799.73970846087</v>
      </c>
      <c r="G62" s="461">
        <f t="shared" si="6"/>
        <v>2.4999999999999911</v>
      </c>
      <c r="H62" s="462">
        <f t="shared" si="7"/>
        <v>3316.2657985091209</v>
      </c>
      <c r="I62" s="411"/>
      <c r="J62" s="411"/>
      <c r="K62" s="411"/>
      <c r="L62" s="411"/>
      <c r="M62" s="411"/>
      <c r="N62" s="411"/>
      <c r="O62" s="411"/>
      <c r="P62" s="411"/>
      <c r="Q62" s="412"/>
      <c r="R62" s="414"/>
      <c r="S62" s="414"/>
      <c r="T62" s="413"/>
      <c r="U62" s="413"/>
      <c r="V62" s="413"/>
      <c r="W62" s="413"/>
      <c r="X62" s="413"/>
      <c r="Y62" s="413"/>
      <c r="Z62" s="413"/>
      <c r="AA62" s="413"/>
      <c r="AB62" s="413"/>
      <c r="AC62" s="413"/>
    </row>
    <row r="63" spans="1:30" s="406" customFormat="1" ht="13.8" x14ac:dyDescent="0.25">
      <c r="A63" s="409"/>
      <c r="B63" s="419" t="s">
        <v>240</v>
      </c>
      <c r="C63" s="420" t="str">
        <f t="shared" si="3"/>
        <v>2024-25</v>
      </c>
      <c r="D63" s="423">
        <f t="shared" si="4"/>
        <v>34914359.061248228</v>
      </c>
      <c r="E63" s="423">
        <f t="shared" si="5"/>
        <v>0</v>
      </c>
      <c r="F63" s="423">
        <f t="shared" si="6"/>
        <v>851569.73320117593</v>
      </c>
      <c r="G63" s="461">
        <f t="shared" si="6"/>
        <v>2.4999999999999911</v>
      </c>
      <c r="H63" s="462">
        <f t="shared" si="7"/>
        <v>3399.1724434792995</v>
      </c>
      <c r="I63" s="411"/>
      <c r="J63" s="411"/>
      <c r="K63" s="411"/>
      <c r="L63" s="411"/>
      <c r="M63" s="411"/>
      <c r="N63" s="411"/>
      <c r="O63" s="411"/>
      <c r="P63" s="411"/>
      <c r="Q63" s="412"/>
      <c r="R63" s="414"/>
      <c r="S63" s="414"/>
      <c r="T63" s="413"/>
      <c r="U63" s="413"/>
      <c r="V63" s="413"/>
      <c r="W63" s="413"/>
      <c r="X63" s="413"/>
      <c r="Y63" s="413"/>
      <c r="Z63" s="413"/>
      <c r="AA63" s="413"/>
      <c r="AB63" s="413"/>
      <c r="AC63" s="413"/>
    </row>
    <row r="64" spans="1:30" s="406" customFormat="1" ht="13.8" x14ac:dyDescent="0.25">
      <c r="A64" s="409"/>
      <c r="B64" s="556" t="s">
        <v>445</v>
      </c>
      <c r="C64" s="555"/>
      <c r="D64" s="423">
        <f>J78</f>
        <v>5488124.6125732251</v>
      </c>
      <c r="E64" s="411"/>
      <c r="F64" s="411"/>
      <c r="G64" s="411"/>
      <c r="H64" s="411"/>
      <c r="I64" s="411"/>
      <c r="J64" s="411"/>
      <c r="K64" s="411"/>
      <c r="L64" s="411"/>
      <c r="M64" s="411"/>
      <c r="N64" s="411"/>
      <c r="O64" s="411"/>
      <c r="P64" s="411"/>
      <c r="Q64" s="412"/>
      <c r="R64" s="414"/>
      <c r="S64" s="414"/>
      <c r="T64" s="413"/>
      <c r="U64" s="413"/>
      <c r="V64" s="413"/>
      <c r="W64" s="413"/>
      <c r="X64" s="413"/>
      <c r="Y64" s="413"/>
      <c r="Z64" s="413"/>
      <c r="AA64" s="413"/>
      <c r="AB64" s="413"/>
      <c r="AC64" s="413"/>
    </row>
    <row r="65" spans="1:30" s="406" customFormat="1" ht="15" x14ac:dyDescent="0.25">
      <c r="A65" s="409"/>
      <c r="B65" s="556" t="s">
        <v>446</v>
      </c>
      <c r="C65" s="555"/>
      <c r="D65" s="464">
        <f>J79</f>
        <v>0.18650448198343444</v>
      </c>
      <c r="E65" s="411"/>
      <c r="F65" s="411"/>
      <c r="G65" s="411"/>
      <c r="H65" s="411"/>
      <c r="I65" s="411"/>
      <c r="J65" s="411"/>
      <c r="K65" s="434"/>
      <c r="L65" s="435"/>
      <c r="M65" s="411"/>
      <c r="N65" s="411"/>
      <c r="O65" s="411"/>
      <c r="P65" s="411"/>
      <c r="Q65" s="412"/>
      <c r="R65" s="436"/>
      <c r="T65" s="413"/>
      <c r="U65" s="413"/>
      <c r="V65" s="413"/>
      <c r="W65" s="413"/>
      <c r="X65" s="413"/>
      <c r="Y65" s="413"/>
      <c r="Z65" s="413"/>
      <c r="AA65" s="413"/>
      <c r="AB65" s="413"/>
      <c r="AC65" s="413"/>
    </row>
    <row r="66" spans="1:30" s="406" customFormat="1" ht="15" x14ac:dyDescent="0.25">
      <c r="A66" s="409"/>
      <c r="B66" s="465"/>
      <c r="C66" s="463"/>
      <c r="D66" s="463"/>
      <c r="E66" s="466"/>
      <c r="F66" s="467"/>
      <c r="G66" s="466"/>
      <c r="H66" s="468"/>
      <c r="I66" s="468"/>
      <c r="J66" s="468"/>
      <c r="K66" s="468"/>
      <c r="L66" s="468"/>
      <c r="M66" s="468"/>
      <c r="N66" s="468"/>
      <c r="O66" s="468"/>
      <c r="P66" s="411"/>
      <c r="Q66" s="412"/>
      <c r="S66" s="414"/>
      <c r="U66" s="414"/>
      <c r="V66" s="413"/>
      <c r="W66" s="413"/>
      <c r="X66" s="413"/>
      <c r="Y66" s="413"/>
      <c r="Z66" s="413"/>
      <c r="AA66" s="413"/>
      <c r="AB66" s="413"/>
      <c r="AC66" s="413"/>
      <c r="AD66" s="413"/>
    </row>
    <row r="67" spans="1:30" s="406" customFormat="1" ht="27.75" customHeight="1" x14ac:dyDescent="0.3">
      <c r="A67" s="409"/>
      <c r="B67" s="410" t="s">
        <v>447</v>
      </c>
      <c r="D67" s="411"/>
      <c r="F67" s="411"/>
      <c r="G67" s="411"/>
      <c r="H67" s="411"/>
      <c r="I67" s="411"/>
      <c r="J67" s="411"/>
      <c r="K67" s="411"/>
      <c r="L67" s="411"/>
      <c r="M67" s="411"/>
      <c r="N67" s="411"/>
      <c r="O67" s="411"/>
      <c r="P67" s="411"/>
      <c r="Q67" s="412"/>
      <c r="R67" s="413"/>
      <c r="S67" s="413"/>
      <c r="T67" s="413"/>
      <c r="U67" s="414"/>
      <c r="V67" s="413"/>
      <c r="W67" s="413"/>
      <c r="X67" s="413"/>
      <c r="Y67" s="413"/>
      <c r="Z67" s="413"/>
      <c r="AA67" s="413"/>
      <c r="AB67" s="413"/>
      <c r="AC67" s="413"/>
      <c r="AD67" s="413"/>
    </row>
    <row r="68" spans="1:30" s="406" customFormat="1" x14ac:dyDescent="0.2">
      <c r="A68" s="409"/>
      <c r="B68" s="411"/>
      <c r="C68" s="411"/>
      <c r="D68" s="411"/>
      <c r="E68" s="411"/>
      <c r="F68" s="411"/>
      <c r="G68" s="411"/>
      <c r="H68" s="411"/>
      <c r="I68" s="411"/>
      <c r="J68" s="411"/>
      <c r="K68" s="411"/>
      <c r="L68" s="411"/>
      <c r="M68" s="411"/>
      <c r="N68" s="411"/>
      <c r="O68" s="411"/>
      <c r="P68" s="411"/>
      <c r="Q68" s="412"/>
      <c r="R68" s="413"/>
      <c r="S68" s="413"/>
      <c r="T68" s="413"/>
      <c r="U68" s="413"/>
      <c r="V68" s="413"/>
      <c r="W68" s="413"/>
      <c r="X68" s="413"/>
      <c r="Y68" s="413"/>
      <c r="Z68" s="413"/>
      <c r="AA68" s="413"/>
      <c r="AB68" s="413"/>
      <c r="AC68" s="413"/>
      <c r="AD68" s="413"/>
    </row>
    <row r="69" spans="1:30" s="406" customFormat="1" ht="69.75" customHeight="1" x14ac:dyDescent="0.25">
      <c r="A69" s="409"/>
      <c r="B69" s="415"/>
      <c r="C69" s="416"/>
      <c r="D69" s="417" t="s">
        <v>336</v>
      </c>
      <c r="E69" s="418" t="s">
        <v>682</v>
      </c>
      <c r="F69" s="588" t="s">
        <v>337</v>
      </c>
      <c r="G69" s="418" t="s">
        <v>339</v>
      </c>
      <c r="H69" s="418" t="s">
        <v>701</v>
      </c>
      <c r="I69" s="418" t="s">
        <v>340</v>
      </c>
      <c r="J69" s="418" t="s">
        <v>346</v>
      </c>
      <c r="K69" s="418" t="s">
        <v>396</v>
      </c>
      <c r="L69" s="417" t="s">
        <v>347</v>
      </c>
      <c r="M69" s="417" t="s">
        <v>348</v>
      </c>
      <c r="N69" s="417" t="s">
        <v>397</v>
      </c>
      <c r="O69" s="417" t="s">
        <v>349</v>
      </c>
      <c r="P69" s="411"/>
      <c r="Q69" s="412"/>
      <c r="R69" s="413"/>
      <c r="S69" s="413"/>
      <c r="T69" s="413"/>
      <c r="U69" s="413"/>
      <c r="V69" s="413"/>
      <c r="W69" s="413"/>
      <c r="X69" s="413"/>
      <c r="Y69" s="413"/>
      <c r="Z69" s="413"/>
      <c r="AA69" s="413"/>
      <c r="AB69" s="413"/>
      <c r="AC69" s="413"/>
    </row>
    <row r="70" spans="1:30" s="406" customFormat="1" ht="13.8" x14ac:dyDescent="0.25">
      <c r="A70" s="409"/>
      <c r="B70" s="419" t="s">
        <v>254</v>
      </c>
      <c r="C70" s="420" t="str">
        <f t="shared" ref="C70:C77" si="8">C44</f>
        <v>2017-18</v>
      </c>
      <c r="D70" s="421"/>
      <c r="E70" s="422"/>
      <c r="G70" s="421"/>
      <c r="H70" s="421"/>
      <c r="I70" s="421"/>
      <c r="J70" s="423">
        <f>IF('WK4 - PGI summary'!H10=0,0,'WK4 - PGI summary'!H10)</f>
        <v>29426234.448675003</v>
      </c>
      <c r="K70" s="423" t="str">
        <f t="shared" ref="K70:K77" si="9">IF(D70="","",(J70-J69))</f>
        <v/>
      </c>
      <c r="L70" s="424"/>
      <c r="M70" s="423">
        <f>IF('WK4 - PGI summary'!H10=0,0,'WK4 - PGI summary'!H10)</f>
        <v>29426234.448675003</v>
      </c>
      <c r="N70" s="423"/>
      <c r="O70" s="423">
        <f>IF('WK4 - PGI summary'!H10=0,0,'WK4 - PGI summary'!H10)</f>
        <v>29426234.448675003</v>
      </c>
      <c r="P70" s="411"/>
      <c r="Q70" s="412"/>
      <c r="R70" s="414"/>
      <c r="S70" s="414"/>
      <c r="T70" s="413"/>
      <c r="U70" s="413"/>
      <c r="V70" s="413"/>
      <c r="W70" s="413"/>
      <c r="X70" s="413"/>
      <c r="Y70" s="413"/>
      <c r="Z70" s="413"/>
      <c r="AA70" s="413"/>
      <c r="AB70" s="413"/>
      <c r="AC70" s="413"/>
    </row>
    <row r="71" spans="1:30" s="406" customFormat="1" ht="13.8" x14ac:dyDescent="0.25">
      <c r="A71" s="409"/>
      <c r="B71" s="419" t="s">
        <v>234</v>
      </c>
      <c r="C71" s="420" t="str">
        <f t="shared" si="8"/>
        <v>2018-19</v>
      </c>
      <c r="D71" s="590">
        <f t="shared" ref="D71:D77" si="10">IF(G71="","",J70)</f>
        <v>29426234.448675003</v>
      </c>
      <c r="E71" s="590">
        <f>E56</f>
        <v>115277</v>
      </c>
      <c r="F71" s="590">
        <f>IF(D71="","",D71-E71)</f>
        <v>29310957.448675003</v>
      </c>
      <c r="G71" s="591">
        <f t="shared" ref="G71:G77" si="11">IF(D45="","",D45)</f>
        <v>2.7099999999999999E-2</v>
      </c>
      <c r="H71" s="426">
        <f t="shared" ref="H71:H77" si="12">IF(G71="","",(G71+1)*F71)</f>
        <v>30105284.395534094</v>
      </c>
      <c r="I71" s="589">
        <f>'WK4 - PGI summary'!H34</f>
        <v>1258</v>
      </c>
      <c r="J71" s="590">
        <f>H71+I71</f>
        <v>30106542.395534094</v>
      </c>
      <c r="K71" s="423">
        <f t="shared" si="9"/>
        <v>680307.94685909152</v>
      </c>
      <c r="L71" s="427">
        <f>IF(D71=0,"",(J71/D71-1)*100)</f>
        <v>2.311909626240749</v>
      </c>
      <c r="M71" s="426">
        <f>F71*(1+E45)+I71</f>
        <v>29986367.469994526</v>
      </c>
      <c r="N71" s="426">
        <f>IF(D71="","",(K71-(M71-M70+I71)))</f>
        <v>118916.92553956807</v>
      </c>
      <c r="O71" s="426">
        <f>D71*(1+E45)+I71</f>
        <v>30104295.840994526</v>
      </c>
      <c r="P71" s="411"/>
      <c r="Q71" s="412"/>
      <c r="R71" s="414"/>
      <c r="S71" s="414"/>
      <c r="T71" s="413"/>
      <c r="U71" s="413"/>
      <c r="V71" s="413"/>
      <c r="W71" s="413"/>
      <c r="X71" s="413"/>
      <c r="Y71" s="413"/>
      <c r="Z71" s="413"/>
      <c r="AA71" s="413"/>
      <c r="AB71" s="413"/>
      <c r="AC71" s="413"/>
    </row>
    <row r="72" spans="1:30" s="406" customFormat="1" ht="13.8" x14ac:dyDescent="0.25">
      <c r="A72" s="409"/>
      <c r="B72" s="419" t="s">
        <v>235</v>
      </c>
      <c r="C72" s="420" t="str">
        <f t="shared" si="8"/>
        <v>2019-20</v>
      </c>
      <c r="D72" s="423">
        <f t="shared" si="10"/>
        <v>30106542.395534094</v>
      </c>
      <c r="E72" s="423">
        <f t="shared" ref="E72:E77" si="13">E57</f>
        <v>0</v>
      </c>
      <c r="F72" s="423">
        <f t="shared" ref="F72:F77" si="14">IF(D72="","",D72-E72)</f>
        <v>30106542.395534094</v>
      </c>
      <c r="G72" s="425">
        <f t="shared" si="11"/>
        <v>2.5000000000000001E-2</v>
      </c>
      <c r="H72" s="426">
        <f t="shared" si="12"/>
        <v>30859205.955422442</v>
      </c>
      <c r="I72" s="421"/>
      <c r="J72" s="423">
        <f t="shared" ref="J72:J77" si="15">H72</f>
        <v>30859205.955422442</v>
      </c>
      <c r="K72" s="423">
        <f t="shared" si="9"/>
        <v>752663.55988834798</v>
      </c>
      <c r="L72" s="427">
        <f t="shared" ref="L72:L77" si="16">IF(D72="","",(J72/D72-1)*100)</f>
        <v>2.4999999999999911</v>
      </c>
      <c r="M72" s="426">
        <f t="shared" ref="M72:M77" si="17">IF(F72="","",(M71*(1+E46))-E72)</f>
        <v>30736026.656744387</v>
      </c>
      <c r="N72" s="426">
        <f t="shared" ref="N72:N77" si="18">IF(D72="","",(K72-(M72-M71+I72)))</f>
        <v>3004.373138487339</v>
      </c>
      <c r="O72" s="426">
        <f t="shared" ref="O72:O77" si="19">IF(D72="","",O71*(1+E46))</f>
        <v>30856903.237019386</v>
      </c>
      <c r="P72" s="411"/>
      <c r="Q72" s="412"/>
      <c r="R72" s="414"/>
      <c r="S72" s="414"/>
      <c r="T72" s="413"/>
      <c r="U72" s="413"/>
      <c r="V72" s="413"/>
      <c r="W72" s="413"/>
      <c r="X72" s="413"/>
      <c r="Y72" s="413"/>
      <c r="Z72" s="413"/>
      <c r="AA72" s="413"/>
      <c r="AB72" s="413"/>
      <c r="AC72" s="413"/>
    </row>
    <row r="73" spans="1:30" s="406" customFormat="1" ht="13.8" x14ac:dyDescent="0.25">
      <c r="A73" s="409"/>
      <c r="B73" s="419" t="s">
        <v>236</v>
      </c>
      <c r="C73" s="420" t="str">
        <f t="shared" si="8"/>
        <v>2020-21</v>
      </c>
      <c r="D73" s="423">
        <f t="shared" si="10"/>
        <v>30859205.955422442</v>
      </c>
      <c r="E73" s="423">
        <f t="shared" si="13"/>
        <v>0</v>
      </c>
      <c r="F73" s="423">
        <f t="shared" si="14"/>
        <v>30859205.955422442</v>
      </c>
      <c r="G73" s="425">
        <f t="shared" si="11"/>
        <v>2.5000000000000001E-2</v>
      </c>
      <c r="H73" s="426">
        <f t="shared" si="12"/>
        <v>31630686.104308002</v>
      </c>
      <c r="I73" s="421"/>
      <c r="J73" s="423">
        <f t="shared" si="15"/>
        <v>31630686.104308002</v>
      </c>
      <c r="K73" s="423">
        <f t="shared" si="9"/>
        <v>771480.14888555929</v>
      </c>
      <c r="L73" s="427">
        <f t="shared" si="16"/>
        <v>2.4999999999999911</v>
      </c>
      <c r="M73" s="426">
        <f t="shared" si="17"/>
        <v>31504427.323162995</v>
      </c>
      <c r="N73" s="426">
        <f t="shared" si="18"/>
        <v>3079.4824669510126</v>
      </c>
      <c r="O73" s="426">
        <f t="shared" si="19"/>
        <v>31628325.817944869</v>
      </c>
      <c r="P73" s="411"/>
      <c r="Q73" s="412"/>
      <c r="R73" s="414"/>
      <c r="S73" s="414"/>
      <c r="T73" s="413"/>
      <c r="U73" s="413"/>
      <c r="V73" s="413"/>
      <c r="W73" s="413"/>
      <c r="X73" s="413"/>
      <c r="Y73" s="413"/>
      <c r="Z73" s="413"/>
      <c r="AA73" s="413"/>
      <c r="AB73" s="413"/>
      <c r="AC73" s="413"/>
    </row>
    <row r="74" spans="1:30" s="406" customFormat="1" ht="13.8" x14ac:dyDescent="0.25">
      <c r="A74" s="409"/>
      <c r="B74" s="419" t="s">
        <v>237</v>
      </c>
      <c r="C74" s="420" t="str">
        <f t="shared" si="8"/>
        <v>2021-22</v>
      </c>
      <c r="D74" s="423">
        <f t="shared" si="10"/>
        <v>31630686.104308002</v>
      </c>
      <c r="E74" s="423">
        <f t="shared" si="13"/>
        <v>0</v>
      </c>
      <c r="F74" s="423">
        <f t="shared" si="14"/>
        <v>31630686.104308002</v>
      </c>
      <c r="G74" s="425">
        <f t="shared" si="11"/>
        <v>2.5000000000000001E-2</v>
      </c>
      <c r="H74" s="426">
        <f t="shared" si="12"/>
        <v>32421453.2569157</v>
      </c>
      <c r="I74" s="421"/>
      <c r="J74" s="423">
        <f t="shared" si="15"/>
        <v>32421453.2569157</v>
      </c>
      <c r="K74" s="423">
        <f t="shared" si="9"/>
        <v>790767.15260769799</v>
      </c>
      <c r="L74" s="427">
        <f t="shared" si="16"/>
        <v>2.4999999999999911</v>
      </c>
      <c r="M74" s="426">
        <f t="shared" si="17"/>
        <v>32292038.006242067</v>
      </c>
      <c r="N74" s="426">
        <f t="shared" si="18"/>
        <v>3156.4695286266506</v>
      </c>
      <c r="O74" s="426">
        <f t="shared" si="19"/>
        <v>32419033.963393487</v>
      </c>
      <c r="P74" s="411"/>
      <c r="Q74" s="412"/>
      <c r="R74" s="414"/>
      <c r="S74" s="414"/>
      <c r="T74" s="413"/>
      <c r="U74" s="413"/>
      <c r="V74" s="413"/>
      <c r="W74" s="413"/>
      <c r="X74" s="413"/>
      <c r="Y74" s="413"/>
      <c r="Z74" s="413"/>
      <c r="AA74" s="413"/>
      <c r="AB74" s="413"/>
      <c r="AC74" s="413"/>
    </row>
    <row r="75" spans="1:30" s="406" customFormat="1" ht="13.8" x14ac:dyDescent="0.25">
      <c r="A75" s="409"/>
      <c r="B75" s="419" t="s">
        <v>238</v>
      </c>
      <c r="C75" s="420" t="str">
        <f t="shared" si="8"/>
        <v>2022-23</v>
      </c>
      <c r="D75" s="423">
        <f t="shared" si="10"/>
        <v>32421453.2569157</v>
      </c>
      <c r="E75" s="423">
        <f t="shared" si="13"/>
        <v>0</v>
      </c>
      <c r="F75" s="423">
        <f t="shared" si="14"/>
        <v>32421453.2569157</v>
      </c>
      <c r="G75" s="425">
        <f t="shared" si="11"/>
        <v>2.5000000000000001E-2</v>
      </c>
      <c r="H75" s="426">
        <f t="shared" si="12"/>
        <v>33231989.588338591</v>
      </c>
      <c r="I75" s="421"/>
      <c r="J75" s="423">
        <f t="shared" si="15"/>
        <v>33231989.588338591</v>
      </c>
      <c r="K75" s="423">
        <f t="shared" si="9"/>
        <v>810536.33142289147</v>
      </c>
      <c r="L75" s="427">
        <f t="shared" si="16"/>
        <v>2.4999999999999911</v>
      </c>
      <c r="M75" s="426">
        <f t="shared" si="17"/>
        <v>33099338.956398115</v>
      </c>
      <c r="N75" s="426">
        <f t="shared" si="18"/>
        <v>3235.3812668435276</v>
      </c>
      <c r="O75" s="426">
        <f t="shared" si="19"/>
        <v>33229509.812478323</v>
      </c>
      <c r="P75" s="411"/>
      <c r="Q75" s="412"/>
      <c r="R75" s="414"/>
      <c r="S75" s="414"/>
      <c r="T75" s="413"/>
      <c r="U75" s="413"/>
      <c r="V75" s="413"/>
      <c r="W75" s="413"/>
      <c r="X75" s="413"/>
      <c r="Y75" s="413"/>
      <c r="Z75" s="413"/>
      <c r="AA75" s="413"/>
      <c r="AB75" s="413"/>
      <c r="AC75" s="413"/>
    </row>
    <row r="76" spans="1:30" s="406" customFormat="1" ht="13.8" x14ac:dyDescent="0.25">
      <c r="A76" s="409"/>
      <c r="B76" s="419" t="s">
        <v>239</v>
      </c>
      <c r="C76" s="420" t="str">
        <f t="shared" si="8"/>
        <v>2023-24</v>
      </c>
      <c r="D76" s="423">
        <f t="shared" si="10"/>
        <v>33231989.588338591</v>
      </c>
      <c r="E76" s="423">
        <f t="shared" si="13"/>
        <v>0</v>
      </c>
      <c r="F76" s="423">
        <f t="shared" si="14"/>
        <v>33231989.588338591</v>
      </c>
      <c r="G76" s="425">
        <f t="shared" si="11"/>
        <v>2.5000000000000001E-2</v>
      </c>
      <c r="H76" s="426">
        <f t="shared" si="12"/>
        <v>34062789.328047052</v>
      </c>
      <c r="I76" s="421"/>
      <c r="J76" s="423">
        <f t="shared" si="15"/>
        <v>34062789.328047052</v>
      </c>
      <c r="K76" s="423">
        <f t="shared" si="9"/>
        <v>830799.73970846087</v>
      </c>
      <c r="L76" s="427">
        <f t="shared" si="16"/>
        <v>2.4999999999999911</v>
      </c>
      <c r="M76" s="426">
        <f t="shared" si="17"/>
        <v>33926822.430308066</v>
      </c>
      <c r="N76" s="426">
        <f t="shared" si="18"/>
        <v>3316.2657985091209</v>
      </c>
      <c r="O76" s="426">
        <f t="shared" si="19"/>
        <v>34060247.557790279</v>
      </c>
      <c r="P76" s="411"/>
      <c r="Q76" s="412"/>
      <c r="R76" s="414"/>
      <c r="S76" s="414"/>
      <c r="T76" s="413"/>
      <c r="U76" s="413"/>
      <c r="V76" s="413"/>
      <c r="W76" s="413"/>
      <c r="X76" s="413"/>
      <c r="Y76" s="413"/>
      <c r="Z76" s="413"/>
      <c r="AA76" s="413"/>
      <c r="AB76" s="413"/>
      <c r="AC76" s="413"/>
    </row>
    <row r="77" spans="1:30" s="406" customFormat="1" ht="13.8" x14ac:dyDescent="0.25">
      <c r="A77" s="409"/>
      <c r="B77" s="419" t="s">
        <v>240</v>
      </c>
      <c r="C77" s="420" t="str">
        <f t="shared" si="8"/>
        <v>2024-25</v>
      </c>
      <c r="D77" s="423">
        <f t="shared" si="10"/>
        <v>34062789.328047052</v>
      </c>
      <c r="E77" s="423">
        <f t="shared" si="13"/>
        <v>0</v>
      </c>
      <c r="F77" s="423">
        <f t="shared" si="14"/>
        <v>34062789.328047052</v>
      </c>
      <c r="G77" s="425">
        <f t="shared" si="11"/>
        <v>2.5000000000000001E-2</v>
      </c>
      <c r="H77" s="426">
        <f t="shared" si="12"/>
        <v>34914359.061248228</v>
      </c>
      <c r="I77" s="428"/>
      <c r="J77" s="423">
        <f t="shared" si="15"/>
        <v>34914359.061248228</v>
      </c>
      <c r="K77" s="423">
        <f t="shared" si="9"/>
        <v>851569.73320117593</v>
      </c>
      <c r="L77" s="427">
        <f t="shared" si="16"/>
        <v>2.4999999999999911</v>
      </c>
      <c r="M77" s="426">
        <f t="shared" si="17"/>
        <v>34774992.991065763</v>
      </c>
      <c r="N77" s="426">
        <f t="shared" si="18"/>
        <v>3399.1724434792995</v>
      </c>
      <c r="O77" s="426">
        <f t="shared" si="19"/>
        <v>34911753.746735036</v>
      </c>
      <c r="P77" s="411"/>
      <c r="Q77" s="412"/>
      <c r="R77" s="414"/>
      <c r="S77" s="414"/>
      <c r="T77" s="413"/>
      <c r="U77" s="413"/>
      <c r="V77" s="413"/>
      <c r="W77" s="413"/>
      <c r="X77" s="413"/>
      <c r="Y77" s="413"/>
      <c r="Z77" s="413"/>
      <c r="AA77" s="413"/>
      <c r="AB77" s="413"/>
      <c r="AC77" s="413"/>
    </row>
    <row r="78" spans="1:30" s="406" customFormat="1" ht="13.8" x14ac:dyDescent="0.25">
      <c r="A78" s="409"/>
      <c r="B78" s="411"/>
      <c r="C78" s="411"/>
      <c r="D78" s="411"/>
      <c r="E78" s="411"/>
      <c r="F78" s="415"/>
      <c r="G78" s="416"/>
      <c r="H78" s="416"/>
      <c r="I78" s="429" t="s">
        <v>350</v>
      </c>
      <c r="J78" s="430">
        <f>INDEX(J70:J77,COUNT(J70:J77))-J70</f>
        <v>5488124.6125732251</v>
      </c>
      <c r="K78" s="430">
        <f>SUM(K71:K77)</f>
        <v>5488124.6125732251</v>
      </c>
      <c r="L78" s="431"/>
      <c r="M78" s="430">
        <f>SUM(M71:M77)</f>
        <v>226320013.83391595</v>
      </c>
      <c r="N78" s="430">
        <f>SUM(N71:N77)</f>
        <v>138108.07018246502</v>
      </c>
      <c r="O78" s="430">
        <f>SUM(O71:O77)</f>
        <v>227210069.97635591</v>
      </c>
      <c r="P78" s="411"/>
      <c r="Q78" s="412"/>
      <c r="R78" s="414"/>
      <c r="S78" s="414"/>
      <c r="T78" s="413"/>
      <c r="U78" s="413"/>
      <c r="V78" s="413"/>
      <c r="W78" s="413"/>
      <c r="X78" s="413"/>
      <c r="Y78" s="413"/>
      <c r="Z78" s="413"/>
      <c r="AA78" s="413"/>
      <c r="AB78" s="413"/>
      <c r="AC78" s="413"/>
    </row>
    <row r="79" spans="1:30" s="406" customFormat="1" ht="15" x14ac:dyDescent="0.25">
      <c r="A79" s="409"/>
      <c r="B79" s="411"/>
      <c r="C79" s="411"/>
      <c r="D79" s="411"/>
      <c r="E79" s="411"/>
      <c r="F79" s="415"/>
      <c r="G79" s="416"/>
      <c r="H79" s="416"/>
      <c r="I79" s="432" t="s">
        <v>341</v>
      </c>
      <c r="J79" s="433">
        <f>J78/J70</f>
        <v>0.18650448198343444</v>
      </c>
      <c r="K79" s="434"/>
      <c r="L79" s="435"/>
      <c r="M79" s="411"/>
      <c r="N79" s="411"/>
      <c r="O79" s="411"/>
      <c r="P79" s="411"/>
      <c r="Q79" s="412"/>
      <c r="R79" s="436"/>
      <c r="T79" s="413"/>
      <c r="U79" s="413"/>
      <c r="V79" s="413"/>
      <c r="W79" s="413"/>
      <c r="X79" s="413"/>
      <c r="Y79" s="413"/>
      <c r="Z79" s="413"/>
      <c r="AA79" s="413"/>
      <c r="AB79" s="413"/>
      <c r="AC79" s="413"/>
    </row>
    <row r="80" spans="1:30" s="406" customFormat="1" ht="32.25" customHeight="1" x14ac:dyDescent="0.3">
      <c r="A80" s="409"/>
      <c r="B80" s="410" t="s">
        <v>393</v>
      </c>
      <c r="C80" s="411"/>
      <c r="D80" s="411"/>
      <c r="E80" s="411"/>
      <c r="F80" s="411"/>
      <c r="G80" s="411"/>
      <c r="H80" s="411"/>
      <c r="I80" s="411"/>
      <c r="J80" s="411"/>
      <c r="K80" s="411"/>
      <c r="L80" s="411"/>
      <c r="M80" s="411"/>
      <c r="N80" s="411"/>
      <c r="O80" s="411"/>
      <c r="P80" s="411"/>
      <c r="Q80" s="412"/>
      <c r="R80" s="414"/>
      <c r="S80" s="436"/>
      <c r="U80" s="413"/>
      <c r="V80" s="413"/>
      <c r="W80" s="413"/>
      <c r="X80" s="413"/>
      <c r="Y80" s="413"/>
      <c r="Z80" s="413"/>
      <c r="AA80" s="413"/>
      <c r="AB80" s="413"/>
      <c r="AC80" s="413"/>
      <c r="AD80" s="413"/>
    </row>
    <row r="81" spans="1:31" s="406" customFormat="1" ht="10.199999999999999" customHeight="1" x14ac:dyDescent="0.25">
      <c r="A81" s="409"/>
      <c r="B81" s="411"/>
      <c r="C81" s="411"/>
      <c r="D81" s="411"/>
      <c r="E81" s="411"/>
      <c r="F81" s="411"/>
      <c r="G81" s="411"/>
      <c r="H81" s="411"/>
      <c r="I81" s="411"/>
      <c r="J81" s="411"/>
      <c r="K81" s="411"/>
      <c r="L81" s="411"/>
      <c r="M81" s="411"/>
      <c r="N81" s="411"/>
      <c r="O81" s="411"/>
      <c r="P81" s="411"/>
      <c r="Q81" s="412"/>
      <c r="R81" s="414"/>
      <c r="S81" s="436"/>
      <c r="U81" s="413"/>
      <c r="V81" s="413"/>
      <c r="W81" s="413"/>
      <c r="X81" s="413"/>
      <c r="Y81" s="413"/>
      <c r="Z81" s="413"/>
      <c r="AA81" s="413"/>
      <c r="AB81" s="413"/>
      <c r="AC81" s="413"/>
      <c r="AD81" s="413"/>
    </row>
    <row r="82" spans="1:31" s="406" customFormat="1" ht="95.25" customHeight="1" x14ac:dyDescent="0.25">
      <c r="B82" s="415"/>
      <c r="C82" s="416"/>
      <c r="D82" s="418" t="s">
        <v>702</v>
      </c>
      <c r="E82" s="417" t="s">
        <v>343</v>
      </c>
      <c r="F82" s="417" t="s">
        <v>342</v>
      </c>
      <c r="G82" s="417" t="s">
        <v>623</v>
      </c>
      <c r="H82" s="417" t="s">
        <v>344</v>
      </c>
      <c r="I82" s="411"/>
      <c r="J82" s="411"/>
      <c r="K82" s="411"/>
      <c r="L82" s="411"/>
      <c r="M82" s="411"/>
      <c r="N82" s="411"/>
      <c r="O82" s="411"/>
      <c r="P82" s="411"/>
      <c r="Q82" s="412"/>
      <c r="R82" s="414"/>
      <c r="S82" s="436"/>
      <c r="T82" s="436"/>
      <c r="V82" s="413"/>
      <c r="W82" s="413"/>
      <c r="X82" s="413"/>
      <c r="Y82" s="413"/>
      <c r="Z82" s="413"/>
      <c r="AA82" s="413"/>
      <c r="AB82" s="413"/>
      <c r="AC82" s="413"/>
      <c r="AD82" s="413"/>
      <c r="AE82" s="413"/>
    </row>
    <row r="83" spans="1:31" s="406" customFormat="1" ht="15" x14ac:dyDescent="0.25">
      <c r="B83" s="419" t="s">
        <v>254</v>
      </c>
      <c r="C83" s="420" t="str">
        <f t="shared" ref="C83:C90" si="20">C44</f>
        <v>2017-18</v>
      </c>
      <c r="D83" s="420"/>
      <c r="E83" s="437"/>
      <c r="F83" s="437"/>
      <c r="G83" s="437"/>
      <c r="H83" s="437"/>
      <c r="I83" s="411"/>
      <c r="J83" s="411"/>
      <c r="K83" s="411"/>
      <c r="L83" s="411"/>
      <c r="M83" s="411"/>
      <c r="N83" s="411"/>
      <c r="O83" s="411"/>
      <c r="P83" s="411"/>
      <c r="Q83" s="412"/>
      <c r="R83" s="414"/>
      <c r="S83" s="436"/>
      <c r="T83" s="436"/>
      <c r="V83" s="413"/>
      <c r="W83" s="413"/>
      <c r="X83" s="413"/>
      <c r="Y83" s="413"/>
      <c r="Z83" s="413"/>
      <c r="AA83" s="413"/>
      <c r="AB83" s="413"/>
      <c r="AC83" s="413"/>
      <c r="AD83" s="413"/>
      <c r="AE83" s="413"/>
    </row>
    <row r="84" spans="1:31" s="406" customFormat="1" ht="15" x14ac:dyDescent="0.25">
      <c r="B84" s="419" t="s">
        <v>234</v>
      </c>
      <c r="C84" s="420" t="str">
        <f t="shared" si="20"/>
        <v>2018-19</v>
      </c>
      <c r="D84" s="438">
        <f>IF(J71="","",J71)</f>
        <v>30106542.395534094</v>
      </c>
      <c r="E84" s="426">
        <f>M71</f>
        <v>29986367.469994526</v>
      </c>
      <c r="F84" s="426">
        <f t="shared" ref="F84:F90" si="21">IF(D84="","",D84-E84)</f>
        <v>120174.92553956807</v>
      </c>
      <c r="G84" s="426">
        <f>D71*(1+E45)+I71</f>
        <v>30104295.840994526</v>
      </c>
      <c r="H84" s="423">
        <f t="shared" ref="H84:H90" si="22">IF(D84="","",D84-G84)</f>
        <v>2246.5545395687222</v>
      </c>
      <c r="I84" s="411"/>
      <c r="J84" s="411"/>
      <c r="K84" s="411"/>
      <c r="L84" s="411"/>
      <c r="M84" s="411"/>
      <c r="N84" s="411"/>
      <c r="O84" s="411"/>
      <c r="P84" s="411"/>
      <c r="Q84" s="412"/>
      <c r="R84" s="414"/>
      <c r="S84" s="436"/>
      <c r="T84" s="436"/>
      <c r="V84" s="413"/>
      <c r="W84" s="413"/>
      <c r="X84" s="413"/>
      <c r="Y84" s="413"/>
      <c r="Z84" s="413"/>
      <c r="AA84" s="413"/>
      <c r="AB84" s="413"/>
      <c r="AC84" s="413"/>
      <c r="AD84" s="413"/>
      <c r="AE84" s="413"/>
    </row>
    <row r="85" spans="1:31" s="406" customFormat="1" ht="15" x14ac:dyDescent="0.25">
      <c r="B85" s="419" t="s">
        <v>235</v>
      </c>
      <c r="C85" s="420" t="str">
        <f t="shared" si="20"/>
        <v>2019-20</v>
      </c>
      <c r="D85" s="438">
        <f t="shared" ref="D85:D90" si="23">IF(J72="","",J72+D84)</f>
        <v>60965748.350956537</v>
      </c>
      <c r="E85" s="426">
        <f t="shared" ref="E85:E90" si="24">IF(F72="","",E84+M72)</f>
        <v>60722394.126738913</v>
      </c>
      <c r="F85" s="426">
        <f t="shared" si="21"/>
        <v>243354.22421762347</v>
      </c>
      <c r="G85" s="426">
        <f>IF(D72="","",G84*(1+E46)+G84)</f>
        <v>60961199.078013912</v>
      </c>
      <c r="H85" s="423">
        <f t="shared" si="22"/>
        <v>4549.2729426249862</v>
      </c>
      <c r="I85" s="411"/>
      <c r="J85" s="411"/>
      <c r="K85" s="411"/>
      <c r="L85" s="411"/>
      <c r="M85" s="411"/>
      <c r="N85" s="411"/>
      <c r="O85" s="411"/>
      <c r="P85" s="411"/>
      <c r="Q85" s="412"/>
      <c r="R85" s="414"/>
      <c r="S85" s="436"/>
      <c r="T85" s="436"/>
      <c r="V85" s="413"/>
      <c r="W85" s="413"/>
      <c r="X85" s="413"/>
      <c r="Y85" s="413"/>
      <c r="Z85" s="413"/>
      <c r="AA85" s="413"/>
      <c r="AB85" s="413"/>
      <c r="AC85" s="413"/>
      <c r="AD85" s="413"/>
      <c r="AE85" s="413"/>
    </row>
    <row r="86" spans="1:31" s="406" customFormat="1" ht="15" x14ac:dyDescent="0.25">
      <c r="B86" s="419" t="s">
        <v>236</v>
      </c>
      <c r="C86" s="420" t="str">
        <f t="shared" si="20"/>
        <v>2020-21</v>
      </c>
      <c r="D86" s="438">
        <f t="shared" si="23"/>
        <v>92596434.455264539</v>
      </c>
      <c r="E86" s="426">
        <f t="shared" si="24"/>
        <v>92226821.449901909</v>
      </c>
      <c r="F86" s="426">
        <f t="shared" si="21"/>
        <v>369613.00536262989</v>
      </c>
      <c r="G86" s="426">
        <f>IF(D73="","",(G85-G84)*(1+E47)+G85)</f>
        <v>92589524.895958781</v>
      </c>
      <c r="H86" s="423">
        <f t="shared" si="22"/>
        <v>6909.5593057572842</v>
      </c>
      <c r="I86" s="411"/>
      <c r="J86" s="411"/>
      <c r="K86" s="411"/>
      <c r="L86" s="411"/>
      <c r="M86" s="411"/>
      <c r="N86" s="411"/>
      <c r="O86" s="411"/>
      <c r="P86" s="411"/>
      <c r="Q86" s="412"/>
      <c r="R86" s="414"/>
      <c r="S86" s="436"/>
      <c r="T86" s="436"/>
      <c r="V86" s="413"/>
      <c r="W86" s="413"/>
      <c r="X86" s="413"/>
      <c r="Y86" s="413"/>
      <c r="Z86" s="413"/>
      <c r="AA86" s="413"/>
      <c r="AB86" s="413"/>
      <c r="AC86" s="413"/>
      <c r="AD86" s="413"/>
      <c r="AE86" s="413"/>
    </row>
    <row r="87" spans="1:31" s="406" customFormat="1" ht="15" x14ac:dyDescent="0.25">
      <c r="B87" s="419" t="s">
        <v>237</v>
      </c>
      <c r="C87" s="420" t="str">
        <f t="shared" si="20"/>
        <v>2021-22</v>
      </c>
      <c r="D87" s="438">
        <f t="shared" si="23"/>
        <v>125017887.71218024</v>
      </c>
      <c r="E87" s="426">
        <f t="shared" si="24"/>
        <v>124518859.45614398</v>
      </c>
      <c r="F87" s="426">
        <f t="shared" si="21"/>
        <v>499028.25603626668</v>
      </c>
      <c r="G87" s="426">
        <f>IF(D74="","",(G86-G85)*(1+E48)+G86)</f>
        <v>125008558.85935226</v>
      </c>
      <c r="H87" s="423">
        <f t="shared" si="22"/>
        <v>9328.8528279811144</v>
      </c>
      <c r="I87" s="411"/>
      <c r="J87" s="411"/>
      <c r="K87" s="411"/>
      <c r="L87" s="411"/>
      <c r="M87" s="411"/>
      <c r="N87" s="411"/>
      <c r="O87" s="411"/>
      <c r="P87" s="411"/>
      <c r="Q87" s="412"/>
      <c r="R87" s="414"/>
      <c r="S87" s="436"/>
      <c r="T87" s="436"/>
      <c r="V87" s="413"/>
      <c r="W87" s="413"/>
      <c r="X87" s="413"/>
      <c r="Y87" s="413"/>
      <c r="Z87" s="413"/>
      <c r="AA87" s="413"/>
      <c r="AB87" s="413"/>
      <c r="AC87" s="413"/>
      <c r="AD87" s="413"/>
      <c r="AE87" s="413"/>
    </row>
    <row r="88" spans="1:31" s="406" customFormat="1" ht="15" x14ac:dyDescent="0.25">
      <c r="B88" s="419" t="s">
        <v>238</v>
      </c>
      <c r="C88" s="420" t="str">
        <f t="shared" si="20"/>
        <v>2022-23</v>
      </c>
      <c r="D88" s="438">
        <f t="shared" si="23"/>
        <v>158249877.30051884</v>
      </c>
      <c r="E88" s="426">
        <f t="shared" si="24"/>
        <v>157618198.4125421</v>
      </c>
      <c r="F88" s="426">
        <f t="shared" si="21"/>
        <v>631678.88797673583</v>
      </c>
      <c r="G88" s="426">
        <f>IF(D75="","",(G87-G86)*(1+E49)+G87)</f>
        <v>158238068.67183056</v>
      </c>
      <c r="H88" s="423">
        <f t="shared" si="22"/>
        <v>11808.628688275814</v>
      </c>
      <c r="I88" s="411"/>
      <c r="J88" s="411"/>
      <c r="K88" s="411"/>
      <c r="L88" s="411"/>
      <c r="M88" s="411"/>
      <c r="N88" s="411"/>
      <c r="O88" s="411"/>
      <c r="P88" s="411"/>
      <c r="Q88" s="412"/>
      <c r="R88" s="414"/>
      <c r="S88" s="436"/>
      <c r="T88" s="436"/>
      <c r="V88" s="413"/>
      <c r="W88" s="413"/>
      <c r="X88" s="413"/>
      <c r="Y88" s="413"/>
      <c r="Z88" s="413"/>
      <c r="AA88" s="413"/>
      <c r="AB88" s="413"/>
      <c r="AC88" s="413"/>
      <c r="AD88" s="413"/>
      <c r="AE88" s="413"/>
    </row>
    <row r="89" spans="1:31" s="406" customFormat="1" ht="15" x14ac:dyDescent="0.25">
      <c r="B89" s="419" t="s">
        <v>239</v>
      </c>
      <c r="C89" s="420" t="str">
        <f t="shared" si="20"/>
        <v>2023-24</v>
      </c>
      <c r="D89" s="438">
        <f t="shared" si="23"/>
        <v>192312666.62856591</v>
      </c>
      <c r="E89" s="426">
        <f t="shared" si="24"/>
        <v>191545020.84285018</v>
      </c>
      <c r="F89" s="426">
        <f t="shared" si="21"/>
        <v>767645.785715729</v>
      </c>
      <c r="G89" s="426">
        <f>IF(D76="","",(G88-G87)*(1+E50)+G88)</f>
        <v>192298316.22962081</v>
      </c>
      <c r="H89" s="423">
        <f t="shared" si="22"/>
        <v>14350.398945093155</v>
      </c>
      <c r="I89" s="411"/>
      <c r="J89" s="411"/>
      <c r="K89" s="411"/>
      <c r="L89" s="411"/>
      <c r="M89" s="411"/>
      <c r="N89" s="411"/>
      <c r="O89" s="411"/>
      <c r="P89" s="411"/>
      <c r="Q89" s="412"/>
      <c r="R89" s="414"/>
      <c r="S89" s="436"/>
      <c r="T89" s="436"/>
      <c r="V89" s="413"/>
      <c r="W89" s="413"/>
      <c r="X89" s="413"/>
      <c r="Y89" s="413"/>
      <c r="Z89" s="413"/>
      <c r="AA89" s="413"/>
      <c r="AB89" s="413"/>
      <c r="AC89" s="413"/>
      <c r="AD89" s="413"/>
      <c r="AE89" s="413"/>
    </row>
    <row r="90" spans="1:31" s="406" customFormat="1" ht="15" x14ac:dyDescent="0.25">
      <c r="B90" s="419" t="s">
        <v>240</v>
      </c>
      <c r="C90" s="420" t="str">
        <f t="shared" si="20"/>
        <v>2024-25</v>
      </c>
      <c r="D90" s="438">
        <f t="shared" si="23"/>
        <v>227227025.68981415</v>
      </c>
      <c r="E90" s="426">
        <f t="shared" si="24"/>
        <v>226320013.83391595</v>
      </c>
      <c r="F90" s="426">
        <f t="shared" si="21"/>
        <v>907011.85589820147</v>
      </c>
      <c r="G90" s="426">
        <f>IF(D77="","",(G89-G88)*(1+E51)+G89)</f>
        <v>227210069.97635582</v>
      </c>
      <c r="H90" s="423">
        <f t="shared" si="22"/>
        <v>16955.713458329439</v>
      </c>
      <c r="I90" s="411"/>
      <c r="J90" s="411"/>
      <c r="K90" s="411"/>
      <c r="L90" s="411"/>
      <c r="M90" s="411"/>
      <c r="N90" s="411"/>
      <c r="O90" s="411"/>
      <c r="P90" s="411"/>
      <c r="Q90" s="412"/>
      <c r="R90" s="414"/>
      <c r="S90" s="436"/>
      <c r="T90" s="436"/>
      <c r="V90" s="413"/>
      <c r="W90" s="413"/>
      <c r="X90" s="413"/>
      <c r="Y90" s="413"/>
      <c r="Z90" s="413"/>
      <c r="AA90" s="413"/>
      <c r="AB90" s="413"/>
      <c r="AC90" s="413"/>
      <c r="AD90" s="413"/>
      <c r="AE90" s="413"/>
    </row>
    <row r="91" spans="1:31" s="406" customFormat="1" ht="15" x14ac:dyDescent="0.25">
      <c r="A91" s="439"/>
      <c r="B91" s="440"/>
      <c r="C91" s="441"/>
      <c r="D91" s="441"/>
      <c r="E91" s="440"/>
      <c r="F91" s="442"/>
      <c r="G91" s="443"/>
      <c r="H91" s="444">
        <f>INDEX(H84:H90,COUNT(H84:H90))/INDEX(G84:G90,COUNT(G84:G90))</f>
        <v>7.4625712936464054E-5</v>
      </c>
      <c r="I91" s="445" t="s">
        <v>703</v>
      </c>
      <c r="J91" s="440"/>
      <c r="K91" s="440"/>
      <c r="L91" s="440"/>
      <c r="M91" s="440"/>
      <c r="N91" s="440"/>
      <c r="O91" s="440"/>
      <c r="P91" s="440"/>
      <c r="Q91" s="446"/>
      <c r="R91" s="414"/>
      <c r="S91" s="436"/>
      <c r="U91" s="413"/>
      <c r="V91" s="413"/>
      <c r="W91" s="413"/>
      <c r="X91" s="413"/>
      <c r="Y91" s="413"/>
      <c r="Z91" s="413"/>
      <c r="AA91" s="413"/>
      <c r="AB91" s="413"/>
      <c r="AC91" s="413"/>
      <c r="AD91" s="413"/>
    </row>
    <row r="92" spans="1:31" ht="15" x14ac:dyDescent="0.25">
      <c r="A92" s="36"/>
      <c r="B92" s="38"/>
      <c r="C92" s="38"/>
      <c r="D92" s="38"/>
      <c r="E92" s="38"/>
      <c r="F92" s="38"/>
      <c r="G92" s="38"/>
      <c r="H92" s="38"/>
      <c r="I92" s="38"/>
      <c r="J92" s="38"/>
      <c r="K92" s="38"/>
      <c r="L92" s="38"/>
      <c r="M92" s="38"/>
      <c r="N92" s="38"/>
      <c r="O92" s="38"/>
      <c r="P92" s="38"/>
      <c r="Q92" s="38"/>
      <c r="R92" s="161"/>
      <c r="S92" s="164"/>
      <c r="T92"/>
      <c r="U92" s="160"/>
      <c r="V92" s="160"/>
      <c r="W92" s="160"/>
      <c r="X92" s="160"/>
      <c r="Y92" s="160"/>
      <c r="Z92" s="160"/>
      <c r="AA92" s="160"/>
      <c r="AB92" s="160"/>
      <c r="AC92" s="160"/>
      <c r="AD92" s="160"/>
    </row>
    <row r="93" spans="1:31" ht="15" x14ac:dyDescent="0.25">
      <c r="A93" s="36"/>
      <c r="B93" s="38"/>
      <c r="C93" s="38"/>
      <c r="D93" s="38"/>
      <c r="E93" s="38"/>
      <c r="F93" s="38"/>
      <c r="G93" s="38"/>
      <c r="H93" s="38"/>
      <c r="I93" s="38"/>
      <c r="J93" s="38"/>
      <c r="K93" s="38"/>
      <c r="L93" s="38"/>
      <c r="M93" s="38"/>
      <c r="N93" s="38"/>
      <c r="O93" s="38"/>
      <c r="P93" s="38"/>
      <c r="Q93" s="38"/>
      <c r="R93" s="164"/>
      <c r="S93" s="164"/>
      <c r="T93"/>
      <c r="U93" s="160"/>
      <c r="V93" s="160"/>
      <c r="W93" s="160"/>
      <c r="X93" s="160"/>
      <c r="Y93" s="160"/>
      <c r="Z93" s="160"/>
      <c r="AA93" s="160"/>
      <c r="AB93" s="160"/>
      <c r="AC93" s="160"/>
      <c r="AD93" s="160"/>
    </row>
    <row r="94" spans="1:31" x14ac:dyDescent="0.2">
      <c r="A94" s="38"/>
      <c r="B94" s="38"/>
      <c r="C94" s="38"/>
      <c r="D94" s="38"/>
      <c r="E94" s="38"/>
      <c r="F94" s="38"/>
      <c r="G94" s="38"/>
      <c r="H94" s="38"/>
      <c r="I94" s="38"/>
      <c r="J94" s="38"/>
      <c r="K94" s="38"/>
      <c r="L94" s="38"/>
      <c r="M94" s="38"/>
      <c r="N94" s="38"/>
      <c r="O94" s="38"/>
      <c r="P94" s="38"/>
      <c r="Q94" s="38"/>
      <c r="S94"/>
      <c r="T94"/>
      <c r="U94" s="160"/>
      <c r="V94" s="160"/>
      <c r="W94" s="160"/>
      <c r="X94" s="160"/>
      <c r="Y94" s="160"/>
      <c r="Z94" s="160"/>
      <c r="AA94" s="160"/>
      <c r="AB94" s="160"/>
      <c r="AC94" s="160"/>
      <c r="AD94" s="160"/>
    </row>
    <row r="95" spans="1:31" x14ac:dyDescent="0.2">
      <c r="S95"/>
      <c r="T95"/>
    </row>
    <row r="97" spans="2:30" x14ac:dyDescent="0.2">
      <c r="S97" s="160"/>
      <c r="T97" s="160"/>
      <c r="U97" s="160"/>
      <c r="V97" s="160"/>
      <c r="W97" s="160"/>
      <c r="X97" s="160"/>
      <c r="Y97" s="160"/>
      <c r="Z97" s="160"/>
      <c r="AA97" s="160"/>
      <c r="AB97" s="160"/>
      <c r="AC97" s="160"/>
      <c r="AD97" s="160"/>
    </row>
    <row r="98" spans="2:30" ht="13.2" hidden="1" x14ac:dyDescent="0.25">
      <c r="B98" s="1"/>
      <c r="C98" s="1"/>
      <c r="D98" s="162" t="str">
        <f>IF(ISBLANK('WK0 - Input data'!C32),"",'WK0 - Input data'!C32)</f>
        <v>Select Council Name</v>
      </c>
      <c r="G98" s="1" t="s">
        <v>16</v>
      </c>
      <c r="J98" s="162" t="s">
        <v>255</v>
      </c>
      <c r="K98" s="162"/>
      <c r="O98" s="1"/>
      <c r="P98" s="1"/>
      <c r="Q98" s="1"/>
      <c r="R98" s="161"/>
    </row>
    <row r="99" spans="2:30" hidden="1" x14ac:dyDescent="0.2">
      <c r="D99" s="338" t="str">
        <f>IF(ISBLANK('WK0 - Input data'!C33),"",'WK0 - Input data'!C33)</f>
        <v>Albury City Council</v>
      </c>
      <c r="R99" s="161"/>
    </row>
    <row r="100" spans="2:30" ht="13.2" hidden="1" x14ac:dyDescent="0.25">
      <c r="B100" s="4"/>
      <c r="C100" s="4"/>
      <c r="D100" s="338" t="str">
        <f>IF(ISBLANK('WK0 - Input data'!C34),"",'WK0 - Input data'!C34)</f>
        <v>Armidale Dumaresq Council</v>
      </c>
      <c r="G100" t="s">
        <v>72</v>
      </c>
      <c r="H100" t="s">
        <v>463</v>
      </c>
      <c r="J100" s="163" t="s">
        <v>256</v>
      </c>
      <c r="K100" s="163"/>
      <c r="L100" s="163" t="s">
        <v>306</v>
      </c>
      <c r="R100" s="1"/>
    </row>
    <row r="101" spans="2:30" ht="13.2" hidden="1" x14ac:dyDescent="0.25">
      <c r="B101" s="4"/>
      <c r="C101" s="4"/>
      <c r="D101" s="338" t="str">
        <f>IF(ISBLANK('WK0 - Input data'!C35),"",'WK0 - Input data'!C35)</f>
        <v>Ballina Shire Council</v>
      </c>
      <c r="G101" t="s">
        <v>75</v>
      </c>
      <c r="H101" t="s">
        <v>464</v>
      </c>
      <c r="R101" s="161"/>
    </row>
    <row r="102" spans="2:30" ht="13.2" hidden="1" x14ac:dyDescent="0.25">
      <c r="B102" s="5"/>
      <c r="C102" s="5"/>
      <c r="D102" s="338" t="str">
        <f>IF(ISBLANK('WK0 - Input data'!C36),"",'WK0 - Input data'!C36)</f>
        <v>Balranald Shire Council</v>
      </c>
      <c r="G102" t="s">
        <v>76</v>
      </c>
      <c r="J102" s="160" t="s">
        <v>244</v>
      </c>
      <c r="K102" s="160"/>
      <c r="L102" t="s">
        <v>75</v>
      </c>
      <c r="R102" s="161"/>
    </row>
    <row r="103" spans="2:30" ht="13.2" hidden="1" x14ac:dyDescent="0.25">
      <c r="B103" s="5"/>
      <c r="C103" s="5"/>
      <c r="D103" s="338" t="str">
        <f>IF(ISBLANK('WK0 - Input data'!C37),"",'WK0 - Input data'!C37)</f>
        <v>Bathurst Regional Council</v>
      </c>
      <c r="J103" s="160" t="s">
        <v>245</v>
      </c>
      <c r="K103" s="160"/>
      <c r="L103" t="s">
        <v>76</v>
      </c>
      <c r="R103" s="161"/>
    </row>
    <row r="104" spans="2:30" ht="13.2" hidden="1" x14ac:dyDescent="0.25">
      <c r="B104" s="5"/>
      <c r="C104" s="5"/>
      <c r="D104" s="338" t="str">
        <f>IF(ISBLANK('WK0 - Input data'!C38),"",'WK0 - Input data'!C38)</f>
        <v>Bayside Council</v>
      </c>
      <c r="G104" s="162" t="s">
        <v>352</v>
      </c>
      <c r="J104" s="160" t="s">
        <v>246</v>
      </c>
      <c r="K104" s="160"/>
      <c r="O104" s="1" t="s">
        <v>18</v>
      </c>
      <c r="P104" s="161"/>
      <c r="Q104" s="161"/>
      <c r="R104" s="161"/>
    </row>
    <row r="105" spans="2:30" ht="13.2" hidden="1" x14ac:dyDescent="0.25">
      <c r="B105" s="5"/>
      <c r="C105" s="5"/>
      <c r="D105" s="338" t="str">
        <f>IF(ISBLANK('WK0 - Input data'!C39),"",'WK0 - Input data'!C39)</f>
        <v>Bega Valley Shire Council</v>
      </c>
      <c r="G105" t="s">
        <v>72</v>
      </c>
      <c r="J105" s="160" t="s">
        <v>247</v>
      </c>
      <c r="K105" s="160"/>
      <c r="O105" s="161" t="s">
        <v>264</v>
      </c>
      <c r="P105" s="161"/>
      <c r="Q105" s="160"/>
      <c r="R105" s="160"/>
      <c r="T105" s="1" t="s">
        <v>17</v>
      </c>
    </row>
    <row r="106" spans="2:30" ht="13.2" hidden="1" x14ac:dyDescent="0.25">
      <c r="B106" s="5"/>
      <c r="C106" s="5"/>
      <c r="D106" s="338" t="str">
        <f>IF(ISBLANK('WK0 - Input data'!C40),"",'WK0 - Input data'!C40)</f>
        <v>Bellingen Shire Council</v>
      </c>
      <c r="G106" t="s">
        <v>75</v>
      </c>
      <c r="J106" s="160" t="s">
        <v>248</v>
      </c>
      <c r="K106" s="160"/>
      <c r="O106" s="161" t="s">
        <v>636</v>
      </c>
      <c r="P106" s="338" t="s">
        <v>637</v>
      </c>
      <c r="Q106" s="160" t="s">
        <v>638</v>
      </c>
      <c r="R106" s="160" t="s">
        <v>639</v>
      </c>
      <c r="T106"/>
    </row>
    <row r="107" spans="2:30" ht="13.2" hidden="1" x14ac:dyDescent="0.25">
      <c r="B107" s="5"/>
      <c r="C107" s="5"/>
      <c r="D107" s="338" t="str">
        <f>IF(ISBLANK('WK0 - Input data'!C41),"",'WK0 - Input data'!C41)</f>
        <v>Berrigan Shire Council</v>
      </c>
      <c r="G107" t="s">
        <v>76</v>
      </c>
      <c r="J107" s="160" t="s">
        <v>249</v>
      </c>
      <c r="K107" s="160"/>
      <c r="O107" s="161" t="s">
        <v>640</v>
      </c>
      <c r="P107" s="338" t="s">
        <v>638</v>
      </c>
      <c r="Q107" s="160" t="s">
        <v>641</v>
      </c>
      <c r="R107" s="160" t="s">
        <v>637</v>
      </c>
      <c r="T107" s="160" t="s">
        <v>264</v>
      </c>
    </row>
    <row r="108" spans="2:30" ht="13.2" hidden="1" x14ac:dyDescent="0.25">
      <c r="B108" s="6"/>
      <c r="C108" s="6"/>
      <c r="D108" s="338" t="str">
        <f>IF(ISBLANK('WK0 - Input data'!C42),"",'WK0 - Input data'!C42)</f>
        <v>Blacktown City Council</v>
      </c>
      <c r="E108" s="179"/>
      <c r="O108" s="161" t="s">
        <v>642</v>
      </c>
      <c r="P108" s="338" t="s">
        <v>641</v>
      </c>
      <c r="Q108" s="160" t="s">
        <v>625</v>
      </c>
      <c r="R108" s="160" t="s">
        <v>638</v>
      </c>
      <c r="T108" s="160" t="s">
        <v>636</v>
      </c>
    </row>
    <row r="109" spans="2:30" ht="13.2" hidden="1" x14ac:dyDescent="0.25">
      <c r="B109" s="5"/>
      <c r="C109" s="5"/>
      <c r="D109" s="338" t="str">
        <f>IF(ISBLANK('WK0 - Input data'!C43),"",'WK0 - Input data'!C43)</f>
        <v>Bland Shire Council</v>
      </c>
      <c r="G109" s="1" t="s">
        <v>16</v>
      </c>
      <c r="J109" s="163" t="s">
        <v>257</v>
      </c>
      <c r="K109" s="163"/>
      <c r="O109" s="161" t="s">
        <v>635</v>
      </c>
      <c r="P109" s="338" t="s">
        <v>625</v>
      </c>
      <c r="Q109" s="160" t="s">
        <v>626</v>
      </c>
      <c r="R109" s="160" t="s">
        <v>641</v>
      </c>
      <c r="T109" s="160" t="s">
        <v>640</v>
      </c>
    </row>
    <row r="110" spans="2:30" ht="13.2" hidden="1" x14ac:dyDescent="0.25">
      <c r="B110" s="5"/>
      <c r="C110" s="5"/>
      <c r="D110" s="338" t="str">
        <f>IF(ISBLANK('WK0 - Input data'!C44),"",'WK0 - Input data'!C44)</f>
        <v>Blayney Shire Council</v>
      </c>
      <c r="O110" s="161" t="s">
        <v>643</v>
      </c>
      <c r="P110" s="338" t="s">
        <v>626</v>
      </c>
      <c r="Q110" s="160" t="s">
        <v>627</v>
      </c>
      <c r="R110" s="160" t="s">
        <v>625</v>
      </c>
      <c r="T110" s="160" t="s">
        <v>642</v>
      </c>
    </row>
    <row r="111" spans="2:30" ht="13.2" hidden="1" x14ac:dyDescent="0.25">
      <c r="B111" s="5"/>
      <c r="C111" s="5"/>
      <c r="D111" s="338" t="str">
        <f>IF(ISBLANK('WK0 - Input data'!C45),"",'WK0 - Input data'!C45)</f>
        <v>Blue Mountains City Council</v>
      </c>
      <c r="G111" t="s">
        <v>425</v>
      </c>
      <c r="H111" t="s">
        <v>538</v>
      </c>
      <c r="J111" s="160" t="s">
        <v>76</v>
      </c>
      <c r="K111" s="160"/>
      <c r="O111" s="161" t="s">
        <v>644</v>
      </c>
      <c r="P111" s="338" t="s">
        <v>627</v>
      </c>
      <c r="Q111" s="160" t="s">
        <v>628</v>
      </c>
      <c r="R111" s="160" t="s">
        <v>626</v>
      </c>
      <c r="T111" s="160" t="s">
        <v>635</v>
      </c>
    </row>
    <row r="112" spans="2:30" ht="13.2" hidden="1" x14ac:dyDescent="0.25">
      <c r="B112" s="5"/>
      <c r="C112" s="5"/>
      <c r="D112" s="338" t="str">
        <f>IF(ISBLANK('WK0 - Input data'!C46),"",'WK0 - Input data'!C46)</f>
        <v>Bogan Shire Council</v>
      </c>
      <c r="G112" t="s">
        <v>426</v>
      </c>
      <c r="J112" s="626" t="str">
        <f>"Yes - 30 Jun "&amp;'WK0 - Input data'!$H23&amp;" expiry"</f>
        <v>Yes - 30 Jun 2017 expiry</v>
      </c>
      <c r="K112" s="384"/>
      <c r="O112" s="161" t="s">
        <v>645</v>
      </c>
      <c r="P112" s="338" t="s">
        <v>628</v>
      </c>
      <c r="Q112" s="160" t="s">
        <v>629</v>
      </c>
      <c r="R112" s="160" t="s">
        <v>627</v>
      </c>
      <c r="T112" s="160" t="s">
        <v>643</v>
      </c>
    </row>
    <row r="113" spans="2:20" ht="13.2" hidden="1" x14ac:dyDescent="0.25">
      <c r="B113" s="5"/>
      <c r="C113" s="5"/>
      <c r="D113" s="338" t="str">
        <f>IF(ISBLANK('WK0 - Input data'!C47),"",'WK0 - Input data'!C47)</f>
        <v>Bourke Shire Council</v>
      </c>
      <c r="G113" t="s">
        <v>244</v>
      </c>
      <c r="J113" s="626" t="str">
        <f>"Yes - 30 Jun "&amp;'WK0 - Input data'!$H24&amp;" expiry"</f>
        <v>Yes - 30 Jun 2018 expiry</v>
      </c>
      <c r="K113" s="384"/>
      <c r="O113" s="161" t="s">
        <v>646</v>
      </c>
      <c r="P113" s="338" t="s">
        <v>629</v>
      </c>
      <c r="Q113" s="160" t="s">
        <v>630</v>
      </c>
      <c r="R113" s="160" t="s">
        <v>628</v>
      </c>
      <c r="T113" s="160" t="s">
        <v>644</v>
      </c>
    </row>
    <row r="114" spans="2:20" ht="13.2" hidden="1" x14ac:dyDescent="0.25">
      <c r="B114" s="5"/>
      <c r="C114" s="5"/>
      <c r="D114" s="338" t="str">
        <f>IF(ISBLANK('WK0 - Input data'!C48),"",'WK0 - Input data'!C48)</f>
        <v>Brewarrina Shire Council</v>
      </c>
      <c r="G114" t="s">
        <v>245</v>
      </c>
      <c r="J114" s="626" t="str">
        <f>"Yes - 30 Jun "&amp;'WK0 - Input data'!$H25&amp;" expiry"</f>
        <v>Yes - 30 Jun 2019 expiry</v>
      </c>
      <c r="K114" s="384"/>
      <c r="O114" s="161" t="s">
        <v>647</v>
      </c>
      <c r="P114" s="338" t="s">
        <v>630</v>
      </c>
      <c r="Q114" s="160" t="s">
        <v>631</v>
      </c>
      <c r="R114" s="160" t="s">
        <v>629</v>
      </c>
      <c r="T114" s="160" t="s">
        <v>645</v>
      </c>
    </row>
    <row r="115" spans="2:20" ht="13.2" hidden="1" x14ac:dyDescent="0.25">
      <c r="B115" s="5"/>
      <c r="C115" s="5"/>
      <c r="D115" s="338" t="str">
        <f>IF(ISBLANK('WK0 - Input data'!C49),"",'WK0 - Input data'!C49)</f>
        <v>Broken Hill City Council</v>
      </c>
      <c r="G115" t="s">
        <v>246</v>
      </c>
      <c r="J115" s="626" t="str">
        <f>"Yes - 30 Jun "&amp;'WK0 - Input data'!$H26&amp;" expiry"</f>
        <v>Yes - 30 Jun 2020 expiry</v>
      </c>
      <c r="K115" s="384"/>
      <c r="O115" s="161" t="s">
        <v>648</v>
      </c>
      <c r="P115" s="338" t="s">
        <v>631</v>
      </c>
      <c r="Q115" s="160" t="s">
        <v>632</v>
      </c>
      <c r="R115" s="160" t="s">
        <v>630</v>
      </c>
      <c r="T115" s="160" t="s">
        <v>646</v>
      </c>
    </row>
    <row r="116" spans="2:20" ht="13.2" hidden="1" x14ac:dyDescent="0.25">
      <c r="B116" s="5"/>
      <c r="C116" s="5"/>
      <c r="D116" s="338" t="str">
        <f>IF(ISBLANK('WK0 - Input data'!C50),"",'WK0 - Input data'!C50)</f>
        <v>Burwood Council</v>
      </c>
      <c r="G116" t="s">
        <v>247</v>
      </c>
      <c r="J116" s="626" t="str">
        <f>"Yes - 30 Jun "&amp;'WK0 - Input data'!$H27&amp;" expiry"</f>
        <v>Yes - 30 Jun 2021 expiry</v>
      </c>
      <c r="K116" s="384"/>
      <c r="O116" s="161" t="s">
        <v>649</v>
      </c>
      <c r="P116" s="338" t="s">
        <v>632</v>
      </c>
      <c r="Q116" s="160" t="s">
        <v>633</v>
      </c>
      <c r="R116" s="160" t="s">
        <v>631</v>
      </c>
      <c r="T116" s="160" t="s">
        <v>647</v>
      </c>
    </row>
    <row r="117" spans="2:20" ht="13.2" hidden="1" x14ac:dyDescent="0.25">
      <c r="B117" s="5"/>
      <c r="C117" s="5"/>
      <c r="D117" s="338" t="str">
        <f>IF(ISBLANK('WK0 - Input data'!C51),"",'WK0 - Input data'!C51)</f>
        <v>Byron Shire Council</v>
      </c>
      <c r="G117" t="s">
        <v>248</v>
      </c>
      <c r="J117" s="626" t="str">
        <f>"Yes - 30 Jun "&amp;'WK0 - Input data'!$H28&amp;" expiry"</f>
        <v>Yes - 30 Jun 2022 expiry</v>
      </c>
      <c r="K117" s="384"/>
      <c r="O117" s="161" t="s">
        <v>650</v>
      </c>
      <c r="P117" s="338" t="s">
        <v>633</v>
      </c>
      <c r="Q117" s="160" t="s">
        <v>634</v>
      </c>
      <c r="R117" s="160" t="s">
        <v>632</v>
      </c>
      <c r="T117" s="160" t="s">
        <v>648</v>
      </c>
    </row>
    <row r="118" spans="2:20" ht="13.2" hidden="1" x14ac:dyDescent="0.25">
      <c r="B118" s="5"/>
      <c r="C118" s="5"/>
      <c r="D118" s="338" t="str">
        <f>IF(ISBLANK('WK0 - Input data'!C52),"",'WK0 - Input data'!C52)</f>
        <v>Cabonne Council</v>
      </c>
      <c r="G118" t="s">
        <v>249</v>
      </c>
      <c r="J118" s="626" t="str">
        <f>"Yes - 30 Jun "&amp;'WK0 - Input data'!$H29&amp;" expiry"</f>
        <v>Yes - 30 Jun 2023 expiry</v>
      </c>
      <c r="K118" s="384"/>
      <c r="O118" s="161" t="s">
        <v>651</v>
      </c>
      <c r="P118" s="338" t="s">
        <v>634</v>
      </c>
      <c r="Q118" s="160" t="s">
        <v>652</v>
      </c>
      <c r="R118" s="160" t="s">
        <v>633</v>
      </c>
      <c r="T118" s="160" t="s">
        <v>649</v>
      </c>
    </row>
    <row r="119" spans="2:20" ht="13.2" hidden="1" x14ac:dyDescent="0.25">
      <c r="B119" s="5"/>
      <c r="C119" s="5"/>
      <c r="D119" s="338" t="str">
        <f>IF(ISBLANK('WK0 - Input data'!C53),"",'WK0 - Input data'!C53)</f>
        <v>Camden Council</v>
      </c>
      <c r="G119" t="s">
        <v>427</v>
      </c>
      <c r="J119" s="626" t="str">
        <f>"Yes - 30 Jun "&amp;'WK0 - Input data'!$H30&amp;" expiry"</f>
        <v>Yes - 30 Jun 2024 expiry</v>
      </c>
      <c r="K119" s="384"/>
      <c r="O119" s="161" t="s">
        <v>653</v>
      </c>
      <c r="P119" s="338" t="s">
        <v>652</v>
      </c>
      <c r="Q119" s="160" t="s">
        <v>654</v>
      </c>
      <c r="R119" s="160" t="s">
        <v>634</v>
      </c>
      <c r="T119" s="160" t="s">
        <v>650</v>
      </c>
    </row>
    <row r="120" spans="2:20" ht="13.2" hidden="1" x14ac:dyDescent="0.25">
      <c r="B120" s="5"/>
      <c r="C120" s="5"/>
      <c r="D120" s="338" t="str">
        <f>IF(ISBLANK('WK0 - Input data'!C54),"",'WK0 - Input data'!C54)</f>
        <v>Campbelltown City Council</v>
      </c>
      <c r="G120" t="s">
        <v>428</v>
      </c>
      <c r="J120" s="627" t="s">
        <v>258</v>
      </c>
      <c r="K120" s="163"/>
      <c r="O120" s="161" t="s">
        <v>655</v>
      </c>
      <c r="P120" s="338" t="s">
        <v>654</v>
      </c>
      <c r="Q120" s="160" t="s">
        <v>656</v>
      </c>
      <c r="R120" s="160" t="s">
        <v>652</v>
      </c>
      <c r="T120" s="160" t="s">
        <v>651</v>
      </c>
    </row>
    <row r="121" spans="2:20" ht="13.2" hidden="1" x14ac:dyDescent="0.25">
      <c r="B121" s="5"/>
      <c r="C121" s="5"/>
      <c r="D121" s="338" t="str">
        <f>IF(ISBLANK('WK0 - Input data'!C55),"",'WK0 - Input data'!C55)</f>
        <v>Canterbury-Bankstown Council</v>
      </c>
      <c r="G121" t="s">
        <v>429</v>
      </c>
      <c r="J121" s="120"/>
      <c r="O121" s="161" t="s">
        <v>657</v>
      </c>
      <c r="P121" s="338" t="s">
        <v>656</v>
      </c>
      <c r="Q121" s="160" t="s">
        <v>658</v>
      </c>
      <c r="R121" s="160" t="s">
        <v>654</v>
      </c>
      <c r="T121" s="160" t="s">
        <v>653</v>
      </c>
    </row>
    <row r="122" spans="2:20" ht="13.2" hidden="1" x14ac:dyDescent="0.25">
      <c r="B122" s="5"/>
      <c r="C122" s="5"/>
      <c r="D122" s="338" t="str">
        <f>IF(ISBLANK('WK0 - Input data'!C56),"",'WK0 - Input data'!C56)</f>
        <v>Carrathool Shire Council</v>
      </c>
      <c r="G122" t="s">
        <v>430</v>
      </c>
      <c r="J122" s="626" t="s">
        <v>76</v>
      </c>
      <c r="K122" s="338"/>
      <c r="O122" s="161" t="s">
        <v>659</v>
      </c>
      <c r="P122" s="338" t="s">
        <v>658</v>
      </c>
      <c r="Q122" s="160" t="s">
        <v>660</v>
      </c>
      <c r="R122" s="160" t="s">
        <v>656</v>
      </c>
      <c r="T122" s="160" t="s">
        <v>655</v>
      </c>
    </row>
    <row r="123" spans="2:20" ht="13.2" hidden="1" x14ac:dyDescent="0.25">
      <c r="B123" s="5"/>
      <c r="C123" s="5"/>
      <c r="D123" s="338" t="str">
        <f>IF(ISBLANK('WK0 - Input data'!C57),"",'WK0 - Input data'!C57)</f>
        <v>Central Coast Council</v>
      </c>
      <c r="G123" t="s">
        <v>431</v>
      </c>
      <c r="J123" s="626" t="str">
        <f>"&amp; another 30 June "&amp;'WK0 - Input data'!$H24&amp;" expiry"</f>
        <v>&amp; another 30 June 2018 expiry</v>
      </c>
      <c r="K123" s="338"/>
      <c r="O123" s="161" t="s">
        <v>661</v>
      </c>
      <c r="P123" s="338" t="s">
        <v>660</v>
      </c>
      <c r="Q123" s="160" t="s">
        <v>662</v>
      </c>
      <c r="R123" s="160" t="s">
        <v>658</v>
      </c>
      <c r="T123" s="160" t="s">
        <v>657</v>
      </c>
    </row>
    <row r="124" spans="2:20" ht="13.2" hidden="1" x14ac:dyDescent="0.25">
      <c r="B124" s="5"/>
      <c r="C124" s="5"/>
      <c r="D124" s="338" t="str">
        <f>IF(ISBLANK('WK0 - Input data'!C58),"",'WK0 - Input data'!C58)</f>
        <v>Central Darling Shire Council</v>
      </c>
      <c r="G124" t="s">
        <v>432</v>
      </c>
      <c r="J124" s="626" t="str">
        <f>"&amp; another 30 June "&amp;'WK0 - Input data'!$H25&amp;" expiry"</f>
        <v>&amp; another 30 June 2019 expiry</v>
      </c>
      <c r="K124" s="338"/>
      <c r="O124" s="161" t="s">
        <v>663</v>
      </c>
      <c r="P124" s="338" t="s">
        <v>662</v>
      </c>
      <c r="Q124" s="160" t="s">
        <v>664</v>
      </c>
      <c r="R124" s="160" t="s">
        <v>660</v>
      </c>
      <c r="T124" s="160" t="s">
        <v>659</v>
      </c>
    </row>
    <row r="125" spans="2:20" ht="13.2" hidden="1" x14ac:dyDescent="0.25">
      <c r="B125" s="5"/>
      <c r="C125" s="5"/>
      <c r="D125" s="338" t="str">
        <f>IF(ISBLANK('WK0 - Input data'!C59),"",'WK0 - Input data'!C59)</f>
        <v>Cessnock City Council</v>
      </c>
      <c r="G125" t="s">
        <v>433</v>
      </c>
      <c r="J125" s="626" t="str">
        <f>"&amp; another 30 June "&amp;'WK0 - Input data'!$H26&amp;" expiry"</f>
        <v>&amp; another 30 June 2020 expiry</v>
      </c>
      <c r="K125" s="338"/>
      <c r="O125" s="161" t="s">
        <v>665</v>
      </c>
      <c r="P125" s="338" t="s">
        <v>664</v>
      </c>
      <c r="Q125" s="160" t="s">
        <v>666</v>
      </c>
      <c r="R125" s="160" t="s">
        <v>662</v>
      </c>
      <c r="T125" s="160" t="s">
        <v>661</v>
      </c>
    </row>
    <row r="126" spans="2:20" ht="13.2" hidden="1" x14ac:dyDescent="0.25">
      <c r="B126" s="5"/>
      <c r="C126" s="5"/>
      <c r="D126" s="338" t="str">
        <f>IF(ISBLANK('WK0 - Input data'!C60),"",'WK0 - Input data'!C60)</f>
        <v>City of Canada Bay Council</v>
      </c>
      <c r="G126" t="s">
        <v>434</v>
      </c>
      <c r="J126" s="626" t="str">
        <f>"&amp; another 30 June "&amp;'WK0 - Input data'!$H27&amp;" expiry"</f>
        <v>&amp; another 30 June 2021 expiry</v>
      </c>
      <c r="K126" s="338"/>
      <c r="O126" s="161" t="s">
        <v>667</v>
      </c>
      <c r="P126" s="338" t="s">
        <v>666</v>
      </c>
      <c r="Q126" s="160" t="s">
        <v>668</v>
      </c>
      <c r="R126" s="160" t="s">
        <v>664</v>
      </c>
      <c r="T126" s="160" t="s">
        <v>663</v>
      </c>
    </row>
    <row r="127" spans="2:20" ht="13.2" hidden="1" x14ac:dyDescent="0.25">
      <c r="B127" s="5"/>
      <c r="C127" s="5"/>
      <c r="D127" s="338" t="str">
        <f>IF(ISBLANK('WK0 - Input data'!C61),"",'WK0 - Input data'!C61)</f>
        <v>City of Parramatta Council</v>
      </c>
      <c r="G127" t="s">
        <v>435</v>
      </c>
      <c r="J127" s="626" t="str">
        <f>"&amp; another 30 June "&amp;'WK0 - Input data'!$H28&amp;" expiry"</f>
        <v>&amp; another 30 June 2022 expiry</v>
      </c>
      <c r="K127" s="338"/>
      <c r="O127" s="161" t="s">
        <v>669</v>
      </c>
      <c r="P127" s="338" t="s">
        <v>668</v>
      </c>
      <c r="Q127" s="160" t="s">
        <v>670</v>
      </c>
      <c r="R127" s="160" t="s">
        <v>666</v>
      </c>
      <c r="T127" s="160" t="s">
        <v>665</v>
      </c>
    </row>
    <row r="128" spans="2:20" ht="13.2" hidden="1" x14ac:dyDescent="0.25">
      <c r="B128" s="5"/>
      <c r="C128" s="5"/>
      <c r="D128" s="338" t="str">
        <f>IF(ISBLANK('WK0 - Input data'!C62),"",'WK0 - Input data'!C62)</f>
        <v>City of Ryde Council</v>
      </c>
      <c r="G128" t="s">
        <v>436</v>
      </c>
      <c r="J128" s="626" t="str">
        <f>"&amp; another 30 June "&amp;'WK0 - Input data'!$H29&amp;" expiry"</f>
        <v>&amp; another 30 June 2023 expiry</v>
      </c>
      <c r="K128" s="338"/>
      <c r="O128" s="161" t="s">
        <v>671</v>
      </c>
      <c r="P128" s="338" t="s">
        <v>670</v>
      </c>
      <c r="Q128" s="160" t="s">
        <v>672</v>
      </c>
      <c r="R128" s="160" t="s">
        <v>668</v>
      </c>
    </row>
    <row r="129" spans="2:18" ht="13.2" hidden="1" x14ac:dyDescent="0.25">
      <c r="B129" s="5"/>
      <c r="C129" s="5"/>
      <c r="D129" s="338" t="str">
        <f>IF(ISBLANK('WK0 - Input data'!C63),"",'WK0 - Input data'!C63)</f>
        <v>City of Sydney Council</v>
      </c>
      <c r="G129" t="s">
        <v>437</v>
      </c>
      <c r="J129" s="626" t="str">
        <f>"&amp; another 30 June "&amp;'WK0 - Input data'!$H30&amp;" expiry"</f>
        <v>&amp; another 30 June 2024 expiry</v>
      </c>
      <c r="K129" s="160"/>
      <c r="O129" s="161" t="s">
        <v>673</v>
      </c>
      <c r="P129" s="338" t="s">
        <v>672</v>
      </c>
      <c r="Q129" s="160" t="s">
        <v>674</v>
      </c>
      <c r="R129" s="160" t="s">
        <v>670</v>
      </c>
    </row>
    <row r="130" spans="2:18" ht="13.2" hidden="1" x14ac:dyDescent="0.25">
      <c r="B130" s="5"/>
      <c r="C130" s="5"/>
      <c r="D130" s="338" t="str">
        <f>IF(ISBLANK('WK0 - Input data'!C64),"",'WK0 - Input data'!C64)</f>
        <v>Clarence Valley Council</v>
      </c>
      <c r="G130" t="s">
        <v>438</v>
      </c>
      <c r="O130" s="161" t="s">
        <v>675</v>
      </c>
      <c r="P130" s="338" t="s">
        <v>674</v>
      </c>
      <c r="Q130" s="160" t="s">
        <v>676</v>
      </c>
      <c r="R130" s="160" t="s">
        <v>672</v>
      </c>
    </row>
    <row r="131" spans="2:18" ht="13.2" hidden="1" x14ac:dyDescent="0.25">
      <c r="B131" s="5"/>
      <c r="C131" s="5"/>
      <c r="D131" s="338" t="str">
        <f>IF(ISBLANK('WK0 - Input data'!C65),"",'WK0 - Input data'!C65)</f>
        <v>Cobar Shire Council</v>
      </c>
      <c r="G131" t="s">
        <v>439</v>
      </c>
      <c r="J131" s="163" t="s">
        <v>259</v>
      </c>
      <c r="K131" s="163"/>
      <c r="O131" s="161" t="s">
        <v>677</v>
      </c>
      <c r="P131" s="338" t="s">
        <v>676</v>
      </c>
      <c r="Q131" s="160" t="s">
        <v>678</v>
      </c>
      <c r="R131" s="160" t="s">
        <v>674</v>
      </c>
    </row>
    <row r="132" spans="2:18" ht="13.2" hidden="1" x14ac:dyDescent="0.25">
      <c r="B132" s="5"/>
      <c r="C132" s="5"/>
      <c r="D132" s="338" t="str">
        <f>IF(ISBLANK('WK0 - Input data'!C66),"",'WK0 - Input data'!C66)</f>
        <v>Coffs Harbour City Council</v>
      </c>
      <c r="O132" s="161" t="s">
        <v>679</v>
      </c>
      <c r="P132" s="338" t="s">
        <v>678</v>
      </c>
      <c r="Q132" s="338" t="s">
        <v>680</v>
      </c>
      <c r="R132" s="338" t="s">
        <v>676</v>
      </c>
    </row>
    <row r="133" spans="2:18" ht="13.2" hidden="1" x14ac:dyDescent="0.25">
      <c r="B133" s="6"/>
      <c r="C133" s="6"/>
      <c r="D133" s="338" t="str">
        <f>IF(ISBLANK('WK0 - Input data'!C67),"",'WK0 - Input data'!C67)</f>
        <v>Coolamon Shire Council</v>
      </c>
      <c r="J133" s="160" t="s">
        <v>250</v>
      </c>
      <c r="K133" s="160"/>
      <c r="O133" s="161" t="s">
        <v>264</v>
      </c>
      <c r="P133" s="160" t="s">
        <v>307</v>
      </c>
      <c r="Q133" s="338" t="s">
        <v>307</v>
      </c>
      <c r="R133" s="160" t="s">
        <v>307</v>
      </c>
    </row>
    <row r="134" spans="2:18" ht="13.2" hidden="1" x14ac:dyDescent="0.25">
      <c r="B134" s="5"/>
      <c r="C134" s="5"/>
      <c r="D134" s="338" t="str">
        <f>IF(ISBLANK('WK0 - Input data'!C68),"",'WK0 - Input data'!C68)</f>
        <v>Coonamble Shire Council</v>
      </c>
      <c r="J134" s="160" t="s">
        <v>251</v>
      </c>
      <c r="K134" s="160"/>
      <c r="O134" s="161"/>
      <c r="P134" s="161"/>
      <c r="Q134" s="161"/>
      <c r="R134" s="161"/>
    </row>
    <row r="135" spans="2:18" ht="13.2" hidden="1" x14ac:dyDescent="0.25">
      <c r="B135" s="5"/>
      <c r="C135" s="5"/>
      <c r="D135" s="338" t="str">
        <f>IF(ISBLANK('WK0 - Input data'!C69),"",'WK0 - Input data'!C69)</f>
        <v>Cootamundra-Gundagai Council</v>
      </c>
      <c r="J135" s="160" t="s">
        <v>252</v>
      </c>
      <c r="K135" s="160"/>
      <c r="O135" s="161"/>
      <c r="P135" s="161"/>
      <c r="Q135" s="161"/>
      <c r="R135" s="161"/>
    </row>
    <row r="136" spans="2:18" ht="13.2" hidden="1" x14ac:dyDescent="0.25">
      <c r="B136" s="5"/>
      <c r="C136" s="5"/>
      <c r="D136" s="338" t="str">
        <f>IF(ISBLANK('WK0 - Input data'!C70),"",'WK0 - Input data'!C70)</f>
        <v>Corowa Shire Council</v>
      </c>
      <c r="J136" s="160"/>
      <c r="K136" s="160"/>
      <c r="O136" s="160"/>
      <c r="P136" s="160"/>
      <c r="Q136" s="160"/>
      <c r="R136" s="160"/>
    </row>
    <row r="137" spans="2:18" ht="13.2" hidden="1" x14ac:dyDescent="0.25">
      <c r="B137" s="5"/>
      <c r="C137" s="5"/>
      <c r="D137" s="338" t="str">
        <f>IF(ISBLANK('WK0 - Input data'!C71),"",'WK0 - Input data'!C71)</f>
        <v>Cowra Shire Council</v>
      </c>
      <c r="J137" s="163" t="s">
        <v>260</v>
      </c>
      <c r="K137" s="163"/>
      <c r="O137" s="160"/>
      <c r="P137" s="160"/>
      <c r="Q137" s="160"/>
      <c r="R137" s="160"/>
    </row>
    <row r="138" spans="2:18" ht="13.2" hidden="1" x14ac:dyDescent="0.25">
      <c r="B138" s="6"/>
      <c r="C138" s="6"/>
      <c r="D138" s="338" t="str">
        <f>IF(ISBLANK('WK0 - Input data'!C72),"",'WK0 - Input data'!C72)</f>
        <v>Cumberland Council</v>
      </c>
      <c r="O138" s="160"/>
      <c r="P138" s="160"/>
      <c r="Q138" s="160"/>
      <c r="R138" s="160"/>
    </row>
    <row r="139" spans="2:18" ht="13.2" hidden="1" x14ac:dyDescent="0.25">
      <c r="B139" s="5"/>
      <c r="C139" s="5"/>
      <c r="D139" s="338" t="str">
        <f>IF(ISBLANK('WK0 - Input data'!C73),"",'WK0 - Input data'!C73)</f>
        <v>Dubbo Regional Council</v>
      </c>
      <c r="J139" s="160" t="s">
        <v>75</v>
      </c>
      <c r="K139" s="160"/>
      <c r="O139" s="160"/>
      <c r="P139" s="160"/>
      <c r="Q139" s="160"/>
      <c r="R139" s="160"/>
    </row>
    <row r="140" spans="2:18" ht="13.2" hidden="1" x14ac:dyDescent="0.25">
      <c r="B140" s="5"/>
      <c r="C140" s="5"/>
      <c r="D140" s="338" t="str">
        <f>IF(ISBLANK('WK0 - Input data'!C74),"",'WK0 - Input data'!C74)</f>
        <v>Dungog Shire Council</v>
      </c>
      <c r="J140" s="160" t="s">
        <v>76</v>
      </c>
      <c r="K140" s="160"/>
      <c r="O140" s="160"/>
      <c r="P140" s="160"/>
      <c r="Q140" s="160"/>
      <c r="R140" s="160"/>
    </row>
    <row r="141" spans="2:18" ht="13.2" hidden="1" x14ac:dyDescent="0.25">
      <c r="B141" s="6"/>
      <c r="C141" s="6"/>
      <c r="D141" s="338" t="str">
        <f>IF(ISBLANK('WK0 - Input data'!C75),"",'WK0 - Input data'!C75)</f>
        <v>Edward River Council</v>
      </c>
      <c r="J141" s="160" t="s">
        <v>253</v>
      </c>
      <c r="K141" s="160"/>
      <c r="O141" s="160"/>
      <c r="P141" s="160"/>
      <c r="Q141" s="160"/>
      <c r="R141" s="160"/>
    </row>
    <row r="142" spans="2:18" ht="13.2" hidden="1" x14ac:dyDescent="0.25">
      <c r="B142" s="5"/>
      <c r="C142" s="5"/>
      <c r="D142" s="338" t="str">
        <f>IF(ISBLANK('WK0 - Input data'!C76),"",'WK0 - Input data'!C76)</f>
        <v>Eurobodalla Shire Council</v>
      </c>
      <c r="O142" s="160"/>
      <c r="P142" s="160"/>
      <c r="Q142" s="160"/>
      <c r="R142" s="160"/>
    </row>
    <row r="143" spans="2:18" ht="331.2" hidden="1" x14ac:dyDescent="0.25">
      <c r="B143" s="5"/>
      <c r="C143" s="5"/>
      <c r="D143" s="338" t="str">
        <f>IF(ISBLANK('WK0 - Input data'!C77),"",'WK0 - Input data'!C77)</f>
        <v>Fairfield City Council</v>
      </c>
      <c r="J143" s="375" t="s">
        <v>353</v>
      </c>
      <c r="K143" s="375"/>
      <c r="O143" s="160"/>
      <c r="P143" s="160"/>
      <c r="Q143" s="160"/>
      <c r="R143" s="160"/>
    </row>
    <row r="144" spans="2:18" ht="13.2" hidden="1" x14ac:dyDescent="0.25">
      <c r="B144" s="5"/>
      <c r="C144" s="5"/>
      <c r="D144" s="338" t="str">
        <f>IF(ISBLANK('WK0 - Input data'!C78),"",'WK0 - Input data'!C78)</f>
        <v>Federation Council</v>
      </c>
      <c r="O144" s="160"/>
      <c r="P144" s="160"/>
      <c r="Q144" s="160"/>
      <c r="R144" s="160"/>
    </row>
    <row r="145" spans="2:18" ht="13.2" hidden="1" x14ac:dyDescent="0.25">
      <c r="B145" s="5"/>
      <c r="C145" s="5"/>
      <c r="D145" s="338" t="str">
        <f>IF(ISBLANK('WK0 - Input data'!C79),"",'WK0 - Input data'!C79)</f>
        <v>Forbes Shire Council</v>
      </c>
      <c r="O145" s="160"/>
      <c r="P145" s="160"/>
      <c r="Q145" s="160"/>
      <c r="R145" s="160"/>
    </row>
    <row r="146" spans="2:18" ht="13.2" hidden="1" x14ac:dyDescent="0.25">
      <c r="B146" s="5"/>
      <c r="C146" s="5"/>
      <c r="D146" s="338" t="str">
        <f>IF(ISBLANK('WK0 - Input data'!C80),"",'WK0 - Input data'!C80)</f>
        <v>Georges River Council</v>
      </c>
      <c r="O146" s="160"/>
      <c r="P146" s="160"/>
      <c r="Q146" s="160"/>
      <c r="R146" s="160"/>
    </row>
    <row r="147" spans="2:18" ht="13.2" hidden="1" x14ac:dyDescent="0.25">
      <c r="B147" s="5"/>
      <c r="C147" s="5"/>
      <c r="D147" s="338" t="str">
        <f>IF(ISBLANK('WK0 - Input data'!C81),"",'WK0 - Input data'!C81)</f>
        <v>Gilgandra Shire Council</v>
      </c>
      <c r="O147" s="160"/>
      <c r="P147" s="160"/>
      <c r="Q147" s="160"/>
      <c r="R147" s="160"/>
    </row>
    <row r="148" spans="2:18" ht="13.2" hidden="1" x14ac:dyDescent="0.25">
      <c r="B148" s="5"/>
      <c r="C148" s="5"/>
      <c r="D148" s="338" t="str">
        <f>IF(ISBLANK('WK0 - Input data'!C82),"",'WK0 - Input data'!C82)</f>
        <v>Glen Innes Severn Shire Council</v>
      </c>
      <c r="O148" s="160"/>
      <c r="P148" s="160"/>
      <c r="Q148" s="160"/>
      <c r="R148" s="160"/>
    </row>
    <row r="149" spans="2:18" ht="13.2" hidden="1" x14ac:dyDescent="0.25">
      <c r="B149" s="5"/>
      <c r="C149" s="5"/>
      <c r="D149" s="338" t="str">
        <f>IF(ISBLANK('WK0 - Input data'!C83),"",'WK0 - Input data'!C83)</f>
        <v>Goulburn Mulwaree Council</v>
      </c>
      <c r="O149" s="160"/>
      <c r="P149" s="160"/>
      <c r="Q149" s="160"/>
      <c r="R149" s="160"/>
    </row>
    <row r="150" spans="2:18" ht="13.2" hidden="1" x14ac:dyDescent="0.25">
      <c r="B150" s="6"/>
      <c r="C150" s="6"/>
      <c r="D150" s="338" t="str">
        <f>IF(ISBLANK('WK0 - Input data'!C84),"",'WK0 - Input data'!C84)</f>
        <v>Greater Hume Shire Council</v>
      </c>
      <c r="O150" s="160"/>
      <c r="P150" s="160"/>
      <c r="Q150" s="160"/>
      <c r="R150" s="160"/>
    </row>
    <row r="151" spans="2:18" ht="13.2" hidden="1" x14ac:dyDescent="0.25">
      <c r="B151" s="5"/>
      <c r="C151" s="5"/>
      <c r="D151" s="338" t="str">
        <f>IF(ISBLANK('WK0 - Input data'!C85),"",'WK0 - Input data'!C85)</f>
        <v>Griffith City Council</v>
      </c>
      <c r="O151" s="160"/>
      <c r="P151" s="160"/>
      <c r="Q151" s="160"/>
      <c r="R151" s="160"/>
    </row>
    <row r="152" spans="2:18" ht="13.2" hidden="1" x14ac:dyDescent="0.25">
      <c r="B152" s="5"/>
      <c r="C152" s="5"/>
      <c r="D152" s="338" t="str">
        <f>IF(ISBLANK('WK0 - Input data'!C86),"",'WK0 - Input data'!C86)</f>
        <v>Gunnedah Shire Council</v>
      </c>
      <c r="O152" s="160"/>
      <c r="P152" s="160"/>
      <c r="Q152" s="160"/>
      <c r="R152" s="160"/>
    </row>
    <row r="153" spans="2:18" ht="13.2" hidden="1" x14ac:dyDescent="0.25">
      <c r="B153" s="6"/>
      <c r="C153" s="6"/>
      <c r="D153" s="338" t="str">
        <f>IF(ISBLANK('WK0 - Input data'!C87),"",'WK0 - Input data'!C87)</f>
        <v>Gwydir Shire Council</v>
      </c>
      <c r="O153" s="160"/>
      <c r="P153" s="160"/>
      <c r="Q153" s="160"/>
      <c r="R153" s="160"/>
    </row>
    <row r="154" spans="2:18" ht="13.2" hidden="1" x14ac:dyDescent="0.25">
      <c r="B154" s="5"/>
      <c r="C154" s="5"/>
      <c r="D154" s="338" t="str">
        <f>IF(ISBLANK('WK0 - Input data'!C88),"",'WK0 - Input data'!C88)</f>
        <v>Hawkesbury City Council</v>
      </c>
      <c r="O154" s="160"/>
      <c r="P154" s="160"/>
      <c r="Q154" s="160"/>
      <c r="R154" s="160"/>
    </row>
    <row r="155" spans="2:18" ht="13.2" hidden="1" x14ac:dyDescent="0.25">
      <c r="B155" s="6"/>
      <c r="C155" s="6"/>
      <c r="D155" s="338" t="str">
        <f>IF(ISBLANK('WK0 - Input data'!C89),"",'WK0 - Input data'!C89)</f>
        <v>Hay Shire Council</v>
      </c>
      <c r="O155" s="160"/>
      <c r="P155" s="160"/>
      <c r="Q155" s="160"/>
      <c r="R155" s="160"/>
    </row>
    <row r="156" spans="2:18" ht="13.2" hidden="1" x14ac:dyDescent="0.25">
      <c r="B156" s="5"/>
      <c r="C156" s="5"/>
      <c r="D156" s="338" t="str">
        <f>IF(ISBLANK('WK0 - Input data'!C90),"",'WK0 - Input data'!C90)</f>
        <v>Hills Shire Council, The</v>
      </c>
      <c r="O156" s="160"/>
      <c r="P156" s="160"/>
      <c r="Q156" s="160"/>
      <c r="R156" s="160"/>
    </row>
    <row r="157" spans="2:18" ht="13.2" hidden="1" x14ac:dyDescent="0.25">
      <c r="B157" s="5"/>
      <c r="C157" s="5"/>
      <c r="D157" s="338" t="str">
        <f>IF(ISBLANK('WK0 - Input data'!C91),"",'WK0 - Input data'!C91)</f>
        <v>Hilltops Council</v>
      </c>
      <c r="O157" s="160"/>
      <c r="P157" s="160"/>
      <c r="Q157" s="160"/>
      <c r="R157" s="160"/>
    </row>
    <row r="158" spans="2:18" ht="13.2" hidden="1" x14ac:dyDescent="0.25">
      <c r="B158" s="5"/>
      <c r="C158" s="5"/>
      <c r="D158" s="338" t="str">
        <f>IF(ISBLANK('WK0 - Input data'!C92),"",'WK0 - Input data'!C92)</f>
        <v>Holroyd City Council</v>
      </c>
      <c r="O158" s="160"/>
      <c r="P158" s="160"/>
      <c r="Q158" s="160"/>
      <c r="R158" s="160"/>
    </row>
    <row r="159" spans="2:18" ht="13.2" hidden="1" x14ac:dyDescent="0.25">
      <c r="B159" s="5"/>
      <c r="C159" s="5"/>
      <c r="D159" s="338" t="str">
        <f>IF(ISBLANK('WK0 - Input data'!C93),"",'WK0 - Input data'!C93)</f>
        <v>Hornsby, The Council of the Shire of</v>
      </c>
      <c r="O159" s="160"/>
      <c r="P159" s="160"/>
      <c r="Q159" s="160"/>
      <c r="R159" s="160"/>
    </row>
    <row r="160" spans="2:18" ht="13.2" hidden="1" x14ac:dyDescent="0.25">
      <c r="B160" s="5"/>
      <c r="C160" s="5"/>
      <c r="D160" s="338" t="str">
        <f>IF(ISBLANK('WK0 - Input data'!C94),"",'WK0 - Input data'!C94)</f>
        <v>Hunters Hill, The Council of the Municipality of</v>
      </c>
      <c r="O160" s="160"/>
      <c r="P160" s="160"/>
      <c r="Q160" s="160"/>
      <c r="R160" s="160"/>
    </row>
    <row r="161" spans="2:18" ht="13.2" hidden="1" x14ac:dyDescent="0.25">
      <c r="B161" s="6"/>
      <c r="C161" s="6"/>
      <c r="D161" s="338" t="str">
        <f>IF(ISBLANK('WK0 - Input data'!C95),"",'WK0 - Input data'!C95)</f>
        <v>Inner West Council</v>
      </c>
      <c r="O161" s="160"/>
      <c r="P161" s="160"/>
      <c r="Q161" s="160"/>
      <c r="R161" s="160"/>
    </row>
    <row r="162" spans="2:18" ht="13.2" hidden="1" x14ac:dyDescent="0.25">
      <c r="B162" s="5"/>
      <c r="C162" s="5"/>
      <c r="D162" s="338" t="str">
        <f>IF(ISBLANK('WK0 - Input data'!C96),"",'WK0 - Input data'!C96)</f>
        <v>Inverell Shire Council</v>
      </c>
      <c r="O162" s="160"/>
      <c r="P162" s="160"/>
      <c r="Q162" s="160"/>
      <c r="R162" s="160"/>
    </row>
    <row r="163" spans="2:18" ht="13.2" hidden="1" x14ac:dyDescent="0.25">
      <c r="B163" s="5"/>
      <c r="C163" s="5"/>
      <c r="D163" s="338" t="str">
        <f>IF(ISBLANK('WK0 - Input data'!C97),"",'WK0 - Input data'!C97)</f>
        <v>Junee Shire Council</v>
      </c>
      <c r="O163" s="160"/>
      <c r="P163" s="160"/>
      <c r="Q163" s="160"/>
      <c r="R163" s="160"/>
    </row>
    <row r="164" spans="2:18" ht="13.2" hidden="1" x14ac:dyDescent="0.25">
      <c r="B164" s="5"/>
      <c r="C164" s="5"/>
      <c r="D164" s="338" t="str">
        <f>IF(ISBLANK('WK0 - Input data'!C98),"",'WK0 - Input data'!C98)</f>
        <v>Kempsey Shire Council</v>
      </c>
      <c r="O164" s="160"/>
      <c r="P164" s="160"/>
      <c r="Q164" s="160"/>
      <c r="R164" s="160"/>
    </row>
    <row r="165" spans="2:18" ht="13.2" hidden="1" x14ac:dyDescent="0.25">
      <c r="B165" s="5"/>
      <c r="C165" s="5"/>
      <c r="D165" s="338" t="str">
        <f>IF(ISBLANK('WK0 - Input data'!C99),"",'WK0 - Input data'!C99)</f>
        <v>Kiama, The Council of the Municipality of</v>
      </c>
      <c r="O165" s="160"/>
      <c r="P165" s="160"/>
      <c r="Q165" s="160"/>
      <c r="R165" s="160"/>
    </row>
    <row r="166" spans="2:18" ht="13.2" hidden="1" x14ac:dyDescent="0.25">
      <c r="B166" s="5"/>
      <c r="C166" s="5"/>
      <c r="D166" s="338" t="str">
        <f>IF(ISBLANK('WK0 - Input data'!C100),"",'WK0 - Input data'!C100)</f>
        <v>Ku-ring-gai Municipal Council</v>
      </c>
    </row>
    <row r="167" spans="2:18" ht="13.2" hidden="1" x14ac:dyDescent="0.25">
      <c r="B167" s="5"/>
      <c r="C167" s="5"/>
      <c r="D167" s="338" t="str">
        <f>IF(ISBLANK('WK0 - Input data'!C101),"",'WK0 - Input data'!C101)</f>
        <v>Kyogle Council</v>
      </c>
    </row>
    <row r="168" spans="2:18" ht="13.2" hidden="1" x14ac:dyDescent="0.25">
      <c r="B168" s="5"/>
      <c r="C168" s="5"/>
      <c r="D168" s="338" t="str">
        <f>IF(ISBLANK('WK0 - Input data'!C102),"",'WK0 - Input data'!C102)</f>
        <v>Lachlan Shire Council</v>
      </c>
    </row>
    <row r="169" spans="2:18" ht="13.2" hidden="1" x14ac:dyDescent="0.25">
      <c r="B169" s="5"/>
      <c r="C169" s="5"/>
      <c r="D169" s="338" t="str">
        <f>IF(ISBLANK('WK0 - Input data'!C103),"",'WK0 - Input data'!C103)</f>
        <v>Lake Macquarie City Council</v>
      </c>
    </row>
    <row r="170" spans="2:18" ht="13.2" hidden="1" x14ac:dyDescent="0.25">
      <c r="B170" s="5"/>
      <c r="C170" s="5"/>
      <c r="D170" s="338" t="str">
        <f>IF(ISBLANK('WK0 - Input data'!C104),"",'WK0 - Input data'!C104)</f>
        <v>Lane Cove Council</v>
      </c>
    </row>
    <row r="171" spans="2:18" ht="13.2" hidden="1" x14ac:dyDescent="0.25">
      <c r="B171" s="5"/>
      <c r="C171" s="5"/>
      <c r="D171" s="338" t="str">
        <f>IF(ISBLANK('WK0 - Input data'!C105),"",'WK0 - Input data'!C105)</f>
        <v>Leeton Shire Council</v>
      </c>
    </row>
    <row r="172" spans="2:18" ht="13.2" hidden="1" x14ac:dyDescent="0.25">
      <c r="B172" s="5"/>
      <c r="C172" s="5"/>
      <c r="D172" s="338" t="str">
        <f>IF(ISBLANK('WK0 - Input data'!C106),"",'WK0 - Input data'!C106)</f>
        <v>Lismore City Council</v>
      </c>
    </row>
    <row r="173" spans="2:18" ht="13.2" hidden="1" x14ac:dyDescent="0.25">
      <c r="B173" s="5"/>
      <c r="C173" s="5"/>
      <c r="D173" s="338" t="str">
        <f>IF(ISBLANK('WK0 - Input data'!C107),"",'WK0 - Input data'!C107)</f>
        <v>Lithgow Council, City of</v>
      </c>
    </row>
    <row r="174" spans="2:18" ht="13.2" hidden="1" x14ac:dyDescent="0.25">
      <c r="B174" s="5"/>
      <c r="C174" s="5"/>
      <c r="D174" s="338" t="str">
        <f>IF(ISBLANK('WK0 - Input data'!C108),"",'WK0 - Input data'!C108)</f>
        <v>Liverpool City Council</v>
      </c>
    </row>
    <row r="175" spans="2:18" ht="13.2" hidden="1" x14ac:dyDescent="0.25">
      <c r="B175" s="5"/>
      <c r="C175" s="5"/>
      <c r="D175" s="338" t="str">
        <f>IF(ISBLANK('WK0 - Input data'!C109),"",'WK0 - Input data'!C109)</f>
        <v>Liverpool Plains Shire Council</v>
      </c>
    </row>
    <row r="176" spans="2:18" ht="13.2" hidden="1" x14ac:dyDescent="0.25">
      <c r="B176" s="5"/>
      <c r="C176" s="5"/>
      <c r="D176" s="338" t="str">
        <f>IF(ISBLANK('WK0 - Input data'!C110),"",'WK0 - Input data'!C110)</f>
        <v>Lockhart Shire Council</v>
      </c>
    </row>
    <row r="177" spans="2:4" ht="13.2" hidden="1" x14ac:dyDescent="0.25">
      <c r="B177" s="5"/>
      <c r="C177" s="5"/>
      <c r="D177" s="338" t="str">
        <f>IF(ISBLANK('WK0 - Input data'!C111),"",'WK0 - Input data'!C111)</f>
        <v>Maitland City Council</v>
      </c>
    </row>
    <row r="178" spans="2:4" ht="13.2" hidden="1" x14ac:dyDescent="0.25">
      <c r="B178" s="5"/>
      <c r="C178" s="5"/>
      <c r="D178" s="338" t="str">
        <f>IF(ISBLANK('WK0 - Input data'!C112),"",'WK0 - Input data'!C112)</f>
        <v>MidCoast Council</v>
      </c>
    </row>
    <row r="179" spans="2:4" ht="13.2" hidden="1" x14ac:dyDescent="0.25">
      <c r="B179" s="5"/>
      <c r="C179" s="5"/>
      <c r="D179" s="338" t="str">
        <f>IF(ISBLANK('WK0 - Input data'!C113),"",'WK0 - Input data'!C113)</f>
        <v>Mid-Western Regional Council</v>
      </c>
    </row>
    <row r="180" spans="2:4" ht="13.2" hidden="1" x14ac:dyDescent="0.25">
      <c r="B180" s="5"/>
      <c r="C180" s="5"/>
      <c r="D180" s="338" t="str">
        <f>IF(ISBLANK('WK0 - Input data'!C114),"",'WK0 - Input data'!C114)</f>
        <v>Moree Plains Shire Council</v>
      </c>
    </row>
    <row r="181" spans="2:4" ht="13.2" hidden="1" x14ac:dyDescent="0.25">
      <c r="B181" s="5"/>
      <c r="C181" s="5"/>
      <c r="D181" s="338" t="str">
        <f>IF(ISBLANK('WK0 - Input data'!C115),"",'WK0 - Input data'!C115)</f>
        <v>Mosman Municipal Council</v>
      </c>
    </row>
    <row r="182" spans="2:4" ht="13.2" hidden="1" x14ac:dyDescent="0.25">
      <c r="B182" s="5"/>
      <c r="C182" s="5"/>
      <c r="D182" s="338" t="str">
        <f>IF(ISBLANK('WK0 - Input data'!C116),"",'WK0 - Input data'!C116)</f>
        <v>Murray River Council</v>
      </c>
    </row>
    <row r="183" spans="2:4" ht="13.2" hidden="1" x14ac:dyDescent="0.25">
      <c r="B183" s="5"/>
      <c r="C183" s="5"/>
      <c r="D183" s="338" t="str">
        <f>IF(ISBLANK('WK0 - Input data'!C117),"",'WK0 - Input data'!C117)</f>
        <v>Murrumbidgee Shire Council</v>
      </c>
    </row>
    <row r="184" spans="2:4" ht="13.2" hidden="1" x14ac:dyDescent="0.25">
      <c r="B184" s="6"/>
      <c r="C184" s="6"/>
      <c r="D184" s="338" t="str">
        <f>IF(ISBLANK('WK0 - Input data'!C118),"",'WK0 - Input data'!C118)</f>
        <v>Muswellbrook Shire Council</v>
      </c>
    </row>
    <row r="185" spans="2:4" ht="13.2" hidden="1" x14ac:dyDescent="0.25">
      <c r="B185" s="5"/>
      <c r="C185" s="5"/>
      <c r="D185" s="338" t="str">
        <f>IF(ISBLANK('WK0 - Input data'!C119),"",'WK0 - Input data'!C119)</f>
        <v>Nambucca Shire Council</v>
      </c>
    </row>
    <row r="186" spans="2:4" ht="13.2" hidden="1" x14ac:dyDescent="0.25">
      <c r="B186" s="6"/>
      <c r="C186" s="6"/>
      <c r="D186" s="338" t="str">
        <f>IF(ISBLANK('WK0 - Input data'!C120),"",'WK0 - Input data'!C120)</f>
        <v>Narrabri Shire Council</v>
      </c>
    </row>
    <row r="187" spans="2:4" ht="13.2" hidden="1" x14ac:dyDescent="0.25">
      <c r="B187" s="5"/>
      <c r="C187" s="5"/>
      <c r="D187" s="338" t="str">
        <f>IF(ISBLANK('WK0 - Input data'!C121),"",'WK0 - Input data'!C121)</f>
        <v>Narrandera Shire Council</v>
      </c>
    </row>
    <row r="188" spans="2:4" ht="13.2" hidden="1" x14ac:dyDescent="0.25">
      <c r="B188" s="5"/>
      <c r="C188" s="5"/>
      <c r="D188" s="338" t="str">
        <f>IF(ISBLANK('WK0 - Input data'!C122),"",'WK0 - Input data'!C122)</f>
        <v>Narromine Shire Council</v>
      </c>
    </row>
    <row r="189" spans="2:4" ht="13.2" hidden="1" x14ac:dyDescent="0.25">
      <c r="B189" s="5"/>
      <c r="C189" s="5"/>
      <c r="D189" s="338" t="str">
        <f>IF(ISBLANK('WK0 - Input data'!C123),"",'WK0 - Input data'!C123)</f>
        <v>Newcastle City Council</v>
      </c>
    </row>
    <row r="190" spans="2:4" ht="13.2" hidden="1" x14ac:dyDescent="0.25">
      <c r="B190" s="5"/>
      <c r="C190" s="5"/>
      <c r="D190" s="338" t="str">
        <f>IF(ISBLANK('WK0 - Input data'!C124),"",'WK0 - Input data'!C124)</f>
        <v>Northern Beaches Council</v>
      </c>
    </row>
    <row r="191" spans="2:4" ht="13.2" hidden="1" x14ac:dyDescent="0.25">
      <c r="B191" s="5"/>
      <c r="C191" s="5"/>
      <c r="D191" s="338" t="str">
        <f>IF(ISBLANK('WK0 - Input data'!C125),"",'WK0 - Input data'!C125)</f>
        <v>North Sydney Council</v>
      </c>
    </row>
    <row r="192" spans="2:4" ht="13.2" hidden="1" x14ac:dyDescent="0.25">
      <c r="B192" s="6"/>
      <c r="C192" s="6"/>
      <c r="D192" s="338" t="str">
        <f>IF(ISBLANK('WK0 - Input data'!C126),"",'WK0 - Input data'!C126)</f>
        <v>Oberon Council</v>
      </c>
    </row>
    <row r="193" spans="2:4" ht="13.2" hidden="1" x14ac:dyDescent="0.25">
      <c r="B193" s="5"/>
      <c r="C193" s="5"/>
      <c r="D193" s="338" t="str">
        <f>IF(ISBLANK('WK0 - Input data'!C127),"",'WK0 - Input data'!C127)</f>
        <v>Orange City Council</v>
      </c>
    </row>
    <row r="194" spans="2:4" ht="13.2" hidden="1" x14ac:dyDescent="0.25">
      <c r="B194" s="5"/>
      <c r="C194" s="5"/>
      <c r="D194" s="338" t="str">
        <f>IF(ISBLANK('WK0 - Input data'!C128),"",'WK0 - Input data'!C128)</f>
        <v>Parkes Shire Council</v>
      </c>
    </row>
    <row r="195" spans="2:4" ht="13.2" hidden="1" x14ac:dyDescent="0.25">
      <c r="B195" s="5"/>
      <c r="C195" s="5"/>
      <c r="D195" s="338" t="str">
        <f>IF(ISBLANK('WK0 - Input data'!C129),"",'WK0 - Input data'!C129)</f>
        <v>Penrith City Council</v>
      </c>
    </row>
    <row r="196" spans="2:4" ht="13.2" hidden="1" x14ac:dyDescent="0.25">
      <c r="B196" s="5"/>
      <c r="C196" s="5"/>
      <c r="D196" s="338" t="str">
        <f>IF(ISBLANK('WK0 - Input data'!C130),"",'WK0 - Input data'!C130)</f>
        <v>Pittwater Council</v>
      </c>
    </row>
    <row r="197" spans="2:4" ht="13.2" hidden="1" x14ac:dyDescent="0.25">
      <c r="B197" s="5"/>
      <c r="C197" s="5"/>
      <c r="D197" s="338" t="str">
        <f>IF(ISBLANK('WK0 - Input data'!C131),"",'WK0 - Input data'!C131)</f>
        <v>Port Macquarie-Hastings Council</v>
      </c>
    </row>
    <row r="198" spans="2:4" ht="13.2" hidden="1" x14ac:dyDescent="0.25">
      <c r="B198" s="5"/>
      <c r="C198" s="5"/>
      <c r="D198" s="338" t="str">
        <f>IF(ISBLANK('WK0 - Input data'!C132),"",'WK0 - Input data'!C132)</f>
        <v>Port Stephens Council</v>
      </c>
    </row>
    <row r="199" spans="2:4" ht="13.2" hidden="1" x14ac:dyDescent="0.25">
      <c r="B199" s="5"/>
      <c r="C199" s="5"/>
      <c r="D199" s="338" t="str">
        <f>IF(ISBLANK('WK0 - Input data'!C133),"",'WK0 - Input data'!C133)</f>
        <v>Queanbeyan-Palerang Regional Council</v>
      </c>
    </row>
    <row r="200" spans="2:4" ht="13.2" hidden="1" x14ac:dyDescent="0.25">
      <c r="B200" s="5"/>
      <c r="C200" s="5"/>
      <c r="D200" s="338" t="str">
        <f>IF(ISBLANK('WK0 - Input data'!C134),"",'WK0 - Input data'!C134)</f>
        <v>Randwick City Council</v>
      </c>
    </row>
    <row r="201" spans="2:4" ht="13.2" hidden="1" x14ac:dyDescent="0.25">
      <c r="B201" s="5"/>
      <c r="C201" s="5"/>
      <c r="D201" s="338" t="str">
        <f>IF(ISBLANK('WK0 - Input data'!C135),"",'WK0 - Input data'!C135)</f>
        <v>Richmond Valley Council</v>
      </c>
    </row>
    <row r="202" spans="2:4" ht="13.2" hidden="1" x14ac:dyDescent="0.25">
      <c r="B202" s="5"/>
      <c r="C202" s="5"/>
      <c r="D202" s="338" t="str">
        <f>IF(ISBLANK('WK0 - Input data'!C136),"",'WK0 - Input data'!C136)</f>
        <v>Rockdale City Council</v>
      </c>
    </row>
    <row r="203" spans="2:4" ht="13.2" hidden="1" x14ac:dyDescent="0.25">
      <c r="B203" s="5"/>
      <c r="C203" s="5"/>
      <c r="D203" s="338" t="str">
        <f>IF(ISBLANK('WK0 - Input data'!C137),"",'WK0 - Input data'!C137)</f>
        <v>Ryde City Council</v>
      </c>
    </row>
    <row r="204" spans="2:4" ht="13.2" hidden="1" x14ac:dyDescent="0.25">
      <c r="B204" s="6"/>
      <c r="C204" s="6"/>
      <c r="D204" s="338" t="str">
        <f>IF(ISBLANK('WK0 - Input data'!C138),"",'WK0 - Input data'!C138)</f>
        <v>Shellharbour City Council</v>
      </c>
    </row>
    <row r="205" spans="2:4" ht="13.2" hidden="1" x14ac:dyDescent="0.25">
      <c r="B205" s="5"/>
      <c r="C205" s="5"/>
      <c r="D205" s="338" t="str">
        <f>IF(ISBLANK('WK0 - Input data'!C139),"",'WK0 - Input data'!C139)</f>
        <v>Shoalhaven City Council</v>
      </c>
    </row>
    <row r="206" spans="2:4" ht="13.2" hidden="1" x14ac:dyDescent="0.25">
      <c r="B206" s="6"/>
      <c r="C206" s="6"/>
      <c r="D206" s="338" t="str">
        <f>IF(ISBLANK('WK0 - Input data'!C140),"",'WK0 - Input data'!C140)</f>
        <v>Singleton Shire Council</v>
      </c>
    </row>
    <row r="207" spans="2:4" ht="13.2" hidden="1" x14ac:dyDescent="0.25">
      <c r="B207" s="5"/>
      <c r="C207" s="5"/>
      <c r="D207" s="338" t="str">
        <f>IF(ISBLANK('WK0 - Input data'!C141),"",'WK0 - Input data'!C141)</f>
        <v>Snowy Monaro Regional Council</v>
      </c>
    </row>
    <row r="208" spans="2:4" ht="13.2" hidden="1" x14ac:dyDescent="0.25">
      <c r="B208" s="5"/>
      <c r="C208" s="5"/>
      <c r="D208" s="338" t="str">
        <f>IF(ISBLANK('WK0 - Input data'!C142),"",'WK0 - Input data'!C142)</f>
        <v>Snowy Valleys Council</v>
      </c>
    </row>
    <row r="209" spans="2:4" ht="13.2" hidden="1" x14ac:dyDescent="0.25">
      <c r="B209" s="5"/>
      <c r="C209" s="5"/>
      <c r="D209" s="338" t="str">
        <f>IF(ISBLANK('WK0 - Input data'!C143),"",'WK0 - Input data'!C143)</f>
        <v>Strathfield Municipal Council</v>
      </c>
    </row>
    <row r="210" spans="2:4" ht="13.2" hidden="1" x14ac:dyDescent="0.25">
      <c r="B210" s="5"/>
      <c r="C210" s="5"/>
      <c r="D210" s="338" t="str">
        <f>IF(ISBLANK('WK0 - Input data'!C144),"",'WK0 - Input data'!C144)</f>
        <v>Sutherland Shire Council</v>
      </c>
    </row>
    <row r="211" spans="2:4" ht="13.2" hidden="1" x14ac:dyDescent="0.25">
      <c r="B211" s="6"/>
      <c r="C211" s="6"/>
      <c r="D211" s="338" t="str">
        <f>IF(ISBLANK('WK0 - Input data'!C145),"",'WK0 - Input data'!C145)</f>
        <v>Tamworth Regional Council</v>
      </c>
    </row>
    <row r="212" spans="2:4" ht="13.2" hidden="1" x14ac:dyDescent="0.25">
      <c r="B212" s="5"/>
      <c r="C212" s="5"/>
      <c r="D212" s="338" t="str">
        <f>IF(ISBLANK('WK0 - Input data'!C146),"",'WK0 - Input data'!C146)</f>
        <v>Temora Shire Council</v>
      </c>
    </row>
    <row r="213" spans="2:4" ht="13.2" hidden="1" x14ac:dyDescent="0.25">
      <c r="B213" s="6"/>
      <c r="C213" s="6"/>
      <c r="D213" s="338" t="str">
        <f>IF(ISBLANK('WK0 - Input data'!C147),"",'WK0 - Input data'!C147)</f>
        <v>Tenterfield Shire Council</v>
      </c>
    </row>
    <row r="214" spans="2:4" ht="13.2" hidden="1" x14ac:dyDescent="0.25">
      <c r="B214" s="5"/>
      <c r="C214" s="5"/>
      <c r="D214" s="338" t="str">
        <f>IF(ISBLANK('WK0 - Input data'!C148),"",'WK0 - Input data'!C148)</f>
        <v>Tweed Shire Council</v>
      </c>
    </row>
    <row r="215" spans="2:4" ht="13.2" hidden="1" x14ac:dyDescent="0.25">
      <c r="B215" s="5"/>
      <c r="C215" s="5"/>
      <c r="D215" s="338" t="str">
        <f>IF(ISBLANK('WK0 - Input data'!C149),"",'WK0 - Input data'!C149)</f>
        <v>Upper Hunter Shire Council</v>
      </c>
    </row>
    <row r="216" spans="2:4" ht="13.2" hidden="1" x14ac:dyDescent="0.25">
      <c r="B216" s="5"/>
      <c r="C216" s="5"/>
      <c r="D216" s="338" t="str">
        <f>IF(ISBLANK('WK0 - Input data'!C150),"",'WK0 - Input data'!C150)</f>
        <v>Upper Lachlan Shire Council</v>
      </c>
    </row>
    <row r="217" spans="2:4" ht="13.2" hidden="1" x14ac:dyDescent="0.25">
      <c r="B217" s="5"/>
      <c r="C217" s="5"/>
      <c r="D217" s="338" t="str">
        <f>IF(ISBLANK('WK0 - Input data'!C151),"",'WK0 - Input data'!C151)</f>
        <v>Uralla Shire Council</v>
      </c>
    </row>
    <row r="218" spans="2:4" ht="13.2" hidden="1" x14ac:dyDescent="0.25">
      <c r="B218" s="5"/>
      <c r="C218" s="5"/>
      <c r="D218" s="338" t="str">
        <f>IF(ISBLANK('WK0 - Input data'!C152),"",'WK0 - Input data'!C152)</f>
        <v>Wagga Wagga City Council</v>
      </c>
    </row>
    <row r="219" spans="2:4" ht="13.2" hidden="1" x14ac:dyDescent="0.25">
      <c r="B219" s="5"/>
      <c r="C219" s="5"/>
      <c r="D219" s="338" t="str">
        <f>IF(ISBLANK('WK0 - Input data'!C153),"",'WK0 - Input data'!C153)</f>
        <v>Walcha Council</v>
      </c>
    </row>
    <row r="220" spans="2:4" ht="13.2" hidden="1" x14ac:dyDescent="0.25">
      <c r="B220" s="5"/>
      <c r="C220" s="5"/>
      <c r="D220" s="338" t="str">
        <f>IF(ISBLANK('WK0 - Input data'!C154),"",'WK0 - Input data'!C154)</f>
        <v>Walgett Shire Council</v>
      </c>
    </row>
    <row r="221" spans="2:4" ht="13.2" hidden="1" x14ac:dyDescent="0.25">
      <c r="B221" s="5"/>
      <c r="C221" s="5"/>
      <c r="D221" s="338" t="str">
        <f>IF(ISBLANK('WK0 - Input data'!C155),"",'WK0 - Input data'!C155)</f>
        <v>Warren Shire Council</v>
      </c>
    </row>
    <row r="222" spans="2:4" ht="13.2" hidden="1" x14ac:dyDescent="0.25">
      <c r="B222" s="5"/>
      <c r="C222" s="5"/>
      <c r="D222" s="338" t="str">
        <f>IF(ISBLANK('WK0 - Input data'!C156),"",'WK0 - Input data'!C156)</f>
        <v>Warrumbungle Shire Council</v>
      </c>
    </row>
    <row r="223" spans="2:4" ht="13.2" hidden="1" x14ac:dyDescent="0.25">
      <c r="B223" s="5"/>
      <c r="C223" s="5"/>
      <c r="D223" s="338" t="str">
        <f>IF(ISBLANK('WK0 - Input data'!C157),"",'WK0 - Input data'!C157)</f>
        <v>Waverley Council</v>
      </c>
    </row>
    <row r="224" spans="2:4" ht="13.2" hidden="1" x14ac:dyDescent="0.25">
      <c r="B224" s="6"/>
      <c r="C224" s="6"/>
      <c r="D224" s="338" t="str">
        <f>IF(ISBLANK('WK0 - Input data'!C158),"",'WK0 - Input data'!C158)</f>
        <v>Weddin Shire Council</v>
      </c>
    </row>
    <row r="225" spans="2:4" ht="13.2" hidden="1" x14ac:dyDescent="0.25">
      <c r="B225" s="6"/>
      <c r="C225" s="6"/>
      <c r="D225" s="338" t="str">
        <f>IF(ISBLANK('WK0 - Input data'!C159),"",'WK0 - Input data'!C159)</f>
        <v>Wellington Council</v>
      </c>
    </row>
    <row r="226" spans="2:4" ht="13.2" hidden="1" x14ac:dyDescent="0.25">
      <c r="B226" s="5"/>
      <c r="C226" s="5"/>
      <c r="D226" s="338" t="str">
        <f>IF(ISBLANK('WK0 - Input data'!C160),"",'WK0 - Input data'!C160)</f>
        <v>Wentworth Shire Council</v>
      </c>
    </row>
    <row r="227" spans="2:4" ht="13.2" hidden="1" x14ac:dyDescent="0.25">
      <c r="B227" s="5"/>
      <c r="C227" s="5"/>
      <c r="D227" s="338" t="str">
        <f>IF(ISBLANK('WK0 - Input data'!C161),"",'WK0 - Input data'!C161)</f>
        <v>Willoughby City Council</v>
      </c>
    </row>
    <row r="228" spans="2:4" ht="13.2" hidden="1" x14ac:dyDescent="0.25">
      <c r="B228" s="5"/>
      <c r="C228" s="5"/>
      <c r="D228" s="338" t="str">
        <f>IF(ISBLANK('WK0 - Input data'!C162),"",'WK0 - Input data'!C162)</f>
        <v>Wingecarribee Shire Council</v>
      </c>
    </row>
    <row r="229" spans="2:4" ht="13.2" hidden="1" x14ac:dyDescent="0.25">
      <c r="B229" s="6"/>
      <c r="C229" s="6"/>
      <c r="D229" s="338" t="str">
        <f>IF(ISBLANK('WK0 - Input data'!C163),"",'WK0 - Input data'!C163)</f>
        <v>Wollondilly Shire Council</v>
      </c>
    </row>
    <row r="230" spans="2:4" ht="13.2" hidden="1" x14ac:dyDescent="0.25">
      <c r="B230" s="5"/>
      <c r="C230" s="5"/>
      <c r="D230" s="338" t="str">
        <f>IF(ISBLANK('WK0 - Input data'!C164),"",'WK0 - Input data'!C164)</f>
        <v>Wollongong City Council</v>
      </c>
    </row>
    <row r="231" spans="2:4" ht="13.2" hidden="1" x14ac:dyDescent="0.25">
      <c r="B231" s="6"/>
      <c r="C231" s="6"/>
      <c r="D231" s="338" t="str">
        <f>IF(ISBLANK('WK0 - Input data'!C165),"",'WK0 - Input data'!C165)</f>
        <v>Woollahra Municipal Council</v>
      </c>
    </row>
    <row r="232" spans="2:4" ht="13.2" hidden="1" x14ac:dyDescent="0.25">
      <c r="B232" s="6"/>
      <c r="C232" s="6"/>
      <c r="D232" s="338" t="str">
        <f>IF(ISBLANK('WK0 - Input data'!C166),"",'WK0 - Input data'!C166)</f>
        <v>Yass Valley Council</v>
      </c>
    </row>
    <row r="233" spans="2:4" ht="13.2" hidden="1" x14ac:dyDescent="0.25">
      <c r="B233" s="5"/>
      <c r="C233" s="5"/>
      <c r="D233" s="338" t="str">
        <f>IF(ISBLANK('WK0 - Input data'!C167),"",'WK0 - Input data'!C167)</f>
        <v/>
      </c>
    </row>
    <row r="234" spans="2:4" ht="13.2" hidden="1" x14ac:dyDescent="0.25">
      <c r="B234" s="5"/>
      <c r="C234" s="5"/>
      <c r="D234" s="338" t="str">
        <f>IF(ISBLANK('WK0 - Input data'!C168),"",'WK0 - Input data'!C168)</f>
        <v/>
      </c>
    </row>
    <row r="235" spans="2:4" ht="13.2" hidden="1" x14ac:dyDescent="0.25">
      <c r="B235" s="5"/>
      <c r="C235" s="5"/>
      <c r="D235" s="338" t="str">
        <f>IF(ISBLANK('WK0 - Input data'!C169),"",'WK0 - Input data'!C169)</f>
        <v/>
      </c>
    </row>
    <row r="236" spans="2:4" ht="13.2" hidden="1" x14ac:dyDescent="0.25">
      <c r="B236" s="5"/>
      <c r="C236" s="5"/>
      <c r="D236" s="338" t="str">
        <f>IF(ISBLANK('WK0 - Input data'!C170),"",'WK0 - Input data'!C170)</f>
        <v/>
      </c>
    </row>
    <row r="237" spans="2:4" ht="13.2" hidden="1" x14ac:dyDescent="0.25">
      <c r="B237" s="5"/>
      <c r="C237" s="5"/>
      <c r="D237" s="338" t="str">
        <f>IF(ISBLANK('WK0 - Input data'!C171),"",'WK0 - Input data'!C171)</f>
        <v/>
      </c>
    </row>
    <row r="238" spans="2:4" ht="13.2" hidden="1" x14ac:dyDescent="0.25">
      <c r="B238" s="5"/>
      <c r="C238" s="5"/>
      <c r="D238" s="338" t="str">
        <f>IF(ISBLANK('WK0 - Input data'!C172),"",'WK0 - Input data'!C172)</f>
        <v/>
      </c>
    </row>
    <row r="239" spans="2:4" ht="13.2" hidden="1" x14ac:dyDescent="0.25">
      <c r="B239" s="5"/>
      <c r="C239" s="5"/>
      <c r="D239" s="338" t="str">
        <f>IF(ISBLANK('WK0 - Input data'!C173),"",'WK0 - Input data'!C173)</f>
        <v/>
      </c>
    </row>
    <row r="240" spans="2:4" ht="13.2" hidden="1" x14ac:dyDescent="0.25">
      <c r="B240" s="5"/>
      <c r="C240" s="5"/>
      <c r="D240" s="338" t="str">
        <f>IF(ISBLANK('WK0 - Input data'!C174),"",'WK0 - Input data'!C174)</f>
        <v/>
      </c>
    </row>
    <row r="241" spans="2:4" ht="13.2" hidden="1" x14ac:dyDescent="0.25">
      <c r="B241" s="6"/>
      <c r="C241" s="6"/>
      <c r="D241" s="338" t="str">
        <f>IF(ISBLANK('WK0 - Input data'!C175),"",'WK0 - Input data'!C175)</f>
        <v/>
      </c>
    </row>
    <row r="242" spans="2:4" ht="13.2" hidden="1" x14ac:dyDescent="0.25">
      <c r="B242" s="5"/>
      <c r="C242" s="5"/>
      <c r="D242" s="338" t="str">
        <f>IF(ISBLANK('WK0 - Input data'!C176),"",'WK0 - Input data'!C176)</f>
        <v/>
      </c>
    </row>
    <row r="243" spans="2:4" ht="13.2" hidden="1" x14ac:dyDescent="0.25">
      <c r="B243" s="5"/>
      <c r="C243" s="5"/>
      <c r="D243" s="338" t="str">
        <f>IF(ISBLANK('WK0 - Input data'!C177),"",'WK0 - Input data'!C177)</f>
        <v/>
      </c>
    </row>
    <row r="244" spans="2:4" ht="13.2" hidden="1" x14ac:dyDescent="0.25">
      <c r="B244" s="5"/>
      <c r="C244" s="5"/>
      <c r="D244" s="338" t="str">
        <f>IF(ISBLANK('WK0 - Input data'!C178),"",'WK0 - Input data'!C178)</f>
        <v/>
      </c>
    </row>
    <row r="245" spans="2:4" ht="13.2" hidden="1" x14ac:dyDescent="0.25">
      <c r="B245" s="5"/>
      <c r="C245" s="5"/>
      <c r="D245" s="338" t="str">
        <f>IF(ISBLANK('WK0 - Input data'!C179),"",'WK0 - Input data'!C179)</f>
        <v/>
      </c>
    </row>
    <row r="246" spans="2:4" ht="13.2" hidden="1" x14ac:dyDescent="0.25">
      <c r="B246" s="5"/>
      <c r="C246" s="5"/>
      <c r="D246" s="338" t="str">
        <f>IF(ISBLANK('WK0 - Input data'!C180),"",'WK0 - Input data'!C180)</f>
        <v/>
      </c>
    </row>
    <row r="247" spans="2:4" ht="13.2" hidden="1" x14ac:dyDescent="0.25">
      <c r="B247" s="5"/>
      <c r="C247" s="5"/>
      <c r="D247" s="338" t="str">
        <f>IF(ISBLANK('WK0 - Input data'!C181),"",'WK0 - Input data'!C181)</f>
        <v/>
      </c>
    </row>
    <row r="248" spans="2:4" ht="13.2" hidden="1" x14ac:dyDescent="0.25">
      <c r="B248" s="5"/>
      <c r="C248" s="5"/>
      <c r="D248" s="338" t="str">
        <f>IF(ISBLANK('WK0 - Input data'!C182),"",'WK0 - Input data'!C182)</f>
        <v/>
      </c>
    </row>
    <row r="249" spans="2:4" ht="13.2" hidden="1" x14ac:dyDescent="0.25">
      <c r="B249" s="5"/>
      <c r="C249" s="5"/>
      <c r="D249" s="338" t="str">
        <f>IF(ISBLANK('WK0 - Input data'!C183),"",'WK0 - Input data'!C183)</f>
        <v/>
      </c>
    </row>
    <row r="250" spans="2:4" ht="13.2" hidden="1" x14ac:dyDescent="0.25">
      <c r="B250" s="5"/>
      <c r="C250" s="5"/>
      <c r="D250" s="338" t="str">
        <f>IF(ISBLANK('WK0 - Input data'!C184),"",'WK0 - Input data'!C184)</f>
        <v/>
      </c>
    </row>
    <row r="251" spans="2:4" ht="13.2" x14ac:dyDescent="0.25">
      <c r="B251" s="5"/>
      <c r="C251" s="5"/>
    </row>
    <row r="252" spans="2:4" ht="13.2" x14ac:dyDescent="0.25">
      <c r="B252" s="6"/>
      <c r="C252" s="6"/>
    </row>
    <row r="253" spans="2:4" ht="13.2" x14ac:dyDescent="0.25">
      <c r="B253" s="5"/>
      <c r="C253" s="5"/>
    </row>
  </sheetData>
  <sheetProtection algorithmName="SHA-512" hashValue="DnPZizpnFIOh8f+XOTBfwXcWNbtruwz8/7Y7QNMmDLdummrjoiJLdy0aZeU78Sa8OMtEpth2Nm+Gav7WDeydfA==" saltValue="zewNoPlUBE4ddTeoATTj2Q==" spinCount="100000" sheet="1" objects="1" scenarios="1"/>
  <protectedRanges>
    <protectedRange sqref="L21:L24 M23 L27:M27" name="Range4"/>
    <protectedRange sqref="J44:J51" name="Range3"/>
    <protectedRange sqref="L21" name="Range1"/>
    <protectedRange sqref="L22" name="Range2"/>
  </protectedRanges>
  <mergeCells count="11">
    <mergeCell ref="O3:P3"/>
    <mergeCell ref="E17:O17"/>
    <mergeCell ref="B9:O9"/>
    <mergeCell ref="D41:E41"/>
    <mergeCell ref="D4:O4"/>
    <mergeCell ref="F41:H41"/>
    <mergeCell ref="E11:O11"/>
    <mergeCell ref="E14:O14"/>
    <mergeCell ref="E15:O15"/>
    <mergeCell ref="F10:L10"/>
    <mergeCell ref="E16:O16"/>
  </mergeCells>
  <phoneticPr fontId="3" type="noConversion"/>
  <dataValidations xWindow="989" yWindow="411" count="23">
    <dataValidation errorStyle="warning" allowBlank="1" showInputMessage="1" showErrorMessage="1" errorTitle="Expiring variation amount" error="The expiring variation amount must be entered as a whole negative number." sqref="D42:E44 L79 R68:S68 C92:C93 L81 M82:O90 G68:H81 C69:C90 B69:B93 F42:G52 G91 G92:H93 L91:N93 D83:D90 I91 L68:N68 M80:N81 L69:L77 B41:C52 B55:C66 H42:H51 D66:G66 L65 R54:S54 F56:G56 J42:J43 H55:H63 G54:H54 K42 E45:E52"/>
    <dataValidation errorStyle="warning" allowBlank="1" showInputMessage="1" showErrorMessage="1" errorTitle="Expiring variation amount" error="The expiring variation amount must be entered as a whole negative number." promptTitle="First yr SV % increase" prompt="This % increase reflects the additional income sought by Council in the first year (inc. the rate peg income) plus any Crown land adjustments._x000a__x000a_Refer to Worksheet 4 to enter in the requested 1st yr increase in % terms and any Crown land adjustments ($)." sqref="D45"/>
    <dataValidation errorStyle="warning" allowBlank="1" showInputMessage="1" showErrorMessage="1" errorTitle="Expiring variation amount" error="The expiring variation amount must be entered as a whole negative number." promptTitle="Forward yr SV % increase" prompt="Enter in the total percentage increase to general income being sought in this year, including the rate peg increase, but excluding other income adjustments due to catch ups/excesses, valuation objections and Crown Land adjustments" sqref="D46:D52"/>
    <dataValidation errorStyle="warning" allowBlank="1" showInputMessage="1" showErrorMessage="1" errorTitle="Expiring variation amount" error="The expiring variation amount must be entered as a whole negative number." prompt="These increases are due to the SV and exclude other income adjustments." sqref="D41 F41"/>
    <dataValidation allowBlank="1" showErrorMessage="1" error="You must select the date from the drop down list." promptTitle="Application Start Date          " prompt="Select the date of the first rating year for which this application applies" sqref="O3:P3"/>
    <dataValidation type="list" allowBlank="1" showInputMessage="1" showErrorMessage="1" sqref="L22">
      <formula1>$J$101:$J$107</formula1>
    </dataValidation>
    <dataValidation type="list" allowBlank="1" showInputMessage="1" showErrorMessage="1" sqref="L23">
      <formula1>$G$111:$I$111</formula1>
    </dataValidation>
    <dataValidation type="list" allowBlank="1" showInputMessage="1" showErrorMessage="1" sqref="L27">
      <formula1>$J$110:$J$119</formula1>
    </dataValidation>
    <dataValidation type="list" showInputMessage="1" showErrorMessage="1" sqref="P29:P30">
      <formula1>$J$133:$J$140</formula1>
    </dataValidation>
    <dataValidation type="list" allowBlank="1" showInputMessage="1" showErrorMessage="1" sqref="L21">
      <formula1>$H$99:$H$101</formula1>
    </dataValidation>
    <dataValidation errorStyle="warning" allowBlank="1" showInputMessage="1" showErrorMessage="1" errorTitle="Expiring variation amount" error="The expiring variation amount must be entered as a whole negative number." promptTitle="Previous year SV % increase" prompt="Enter in the percentage increase to general income for the original special variation that is now expiring (i.e.the original increase excluding the rate peg and any other permanent components)" sqref="L30"/>
    <dataValidation errorStyle="warning" allowBlank="1" showInputMessage="1" showErrorMessage="1" errorTitle="Expiring variation amount" error="The expiring variation amount must be entered as a whole negative number." promptTitle="Previous yr SV % increase" prompt="Enter in the percentage increase to general income for the original special variation that is now expiring (i.e.the original increase excluding the rate peg and any other permanent components)_x000a_" sqref="M30"/>
    <dataValidation errorStyle="warning" allowBlank="1" showInputMessage="1" showErrorMessage="1" errorTitle="Expiring variation amount" error="The expiring variation amount must be entered as a whole negative number." promptTitle="Forward yr SV % increase" prompt="Enter the the total percentage increase to general income being sought in the first year of the special vari, excluding the rate peg increase and excluding other income adjustments due to catch ups/excesses, valuation objections and Crown Land adjustments" sqref="L24"/>
    <dataValidation errorStyle="warning" allowBlank="1" showInputMessage="1" showErrorMessage="1" errorTitle="Expiring variation amount" error="The expiring variation amount must be entered as a whole negative number." promptTitle="Number of years before expiry" prompt="Enter in the total number of years before the special variation is due to expire i.e. 5, 10, 20." sqref="M23"/>
    <dataValidation errorStyle="warning" allowBlank="1" showInputMessage="1" showErrorMessage="1" errorTitle="Expiring variation amount" error="The expiring variation amount must be entered as a whole negative number." promptTitle="Percentage value of expiring SV" prompt="This cell calculates the percentage value of the expiring variation relative to the current year's general income" sqref="K44"/>
    <dataValidation errorStyle="warning" allowBlank="1" showInputMessage="1" showErrorMessage="1" errorTitle="Expiring variation amount" error="The expiring variation amount must be entered as a whole negative number." promptTitle="Previous year SV % increase" prompt="Enter in the total percentage increase to general income for the original special variation approved (i.e. including the rate peg)_x000a_" sqref="L29"/>
    <dataValidation errorStyle="warning" allowBlank="1" showInputMessage="1" showErrorMessage="1" errorTitle="Expiring variation amount" error="The expiring variation amount must be entered as a whole negative number." promptTitle="Previous yr SV % increase" prompt="Enter in the total percentage increase to general income for the original special variation approved (i.e. including the rate peg)_x000a__x000a_" sqref="M29"/>
    <dataValidation allowBlank="1" showInputMessage="1" showErrorMessage="1" promptTitle="Prior year catch up/excess" prompt="Enter the catch-up or excess amount, as advised by the Office of Local Government._x000a__x000a_A catch-up amount should be entered as a positive whole number._x000a__x000a_An excess amount should be entered as a negative whole number." sqref="L34"/>
    <dataValidation allowBlank="1" showInputMessage="1" showErrorMessage="1" promptTitle="Valuation Objections" prompt="If Council claimed any valuation objections in the previous year, notional general income must be adjusted back to its correct level._x000a__x000a_This adjustment should be verified by OLG before submission to IPART." sqref="L35"/>
    <dataValidation allowBlank="1" showInputMessage="1" showErrorMessage="1" promptTitle="Crown land adjustment" prompt="Some councils may also wish to claim an adjustment for Crown land. Refer to the Office of Local Government (OLG) for advice on this dollar amount." sqref="L33"/>
    <dataValidation errorStyle="warning" allowBlank="1" showInputMessage="1" showErrorMessage="1" errorTitle="Expiring variation amount" error="The expiring variation amount must be entered as a whole negative number." promptTitle="Expiring SV" prompt="Enter the amount of the expiring special variation as a positive whole number._x000a__x000a_Council must consult with the Office of Local Government about the correct amount of the expiring special variation, before submitting its application to IPART." sqref="J44:J51"/>
    <dataValidation type="list" allowBlank="1" showInputMessage="1" showErrorMessage="1" sqref="M27">
      <formula1>$J$121:$J$129</formula1>
    </dataValidation>
    <dataValidation type="list" allowBlank="1" showInputMessage="1" showErrorMessage="1" sqref="E11:O11">
      <formula1>$D$98:$D$250</formula1>
    </dataValidation>
  </dataValidations>
  <printOptions horizontalCentered="1"/>
  <pageMargins left="0.25" right="0.25" top="0.75" bottom="0.75" header="0.3" footer="0.3"/>
  <pageSetup paperSize="9" scale="41" orientation="portrait" r:id="rId1"/>
  <headerFooter alignWithMargins="0"/>
  <rowBreaks count="1" manualBreakCount="1">
    <brk id="91" max="14" man="1"/>
  </rowBreaks>
  <ignoredErrors>
    <ignoredError sqref="O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173"/>
  <sheetViews>
    <sheetView showGridLines="0" topLeftCell="A11" zoomScaleNormal="100" workbookViewId="0"/>
  </sheetViews>
  <sheetFormatPr defaultColWidth="9.125" defaultRowHeight="13.2" x14ac:dyDescent="0.25"/>
  <cols>
    <col min="1" max="1" width="2" style="3" customWidth="1"/>
    <col min="2" max="2" width="13.625" style="3" customWidth="1"/>
    <col min="3" max="3" width="20.125" style="3" customWidth="1"/>
    <col min="4" max="4" width="14.375" style="3" customWidth="1"/>
    <col min="5" max="5" width="10.375" style="3" customWidth="1"/>
    <col min="6" max="7" width="9.375" style="3" customWidth="1"/>
    <col min="8" max="9" width="10.625" style="3" customWidth="1"/>
    <col min="10" max="10" width="21.625" style="3" customWidth="1"/>
    <col min="11" max="11" width="20.875" style="22" customWidth="1"/>
    <col min="12" max="12" width="23.75" style="22" customWidth="1"/>
    <col min="13" max="13" width="2.75" style="3" customWidth="1"/>
    <col min="14" max="14" width="5.25" style="3" customWidth="1"/>
    <col min="15" max="16" width="9.125" style="3" hidden="1" customWidth="1"/>
    <col min="17" max="17" width="5.625" style="3" hidden="1" customWidth="1"/>
    <col min="18" max="18" width="5.25" style="3" hidden="1" customWidth="1"/>
    <col min="19" max="19" width="7.875" style="3" hidden="1" customWidth="1"/>
    <col min="20" max="20" width="8.875" style="3" hidden="1" customWidth="1"/>
    <col min="21" max="21" width="7.75" style="3" hidden="1" customWidth="1"/>
    <col min="22" max="22" width="8.125" style="3" hidden="1" customWidth="1"/>
    <col min="23" max="16384" width="9.125" style="3"/>
  </cols>
  <sheetData>
    <row r="1" spans="1:22" x14ac:dyDescent="0.25">
      <c r="A1" s="30"/>
      <c r="B1" s="31"/>
      <c r="C1" s="31"/>
      <c r="D1" s="32"/>
      <c r="E1" s="32"/>
      <c r="F1" s="32"/>
      <c r="G1" s="32"/>
      <c r="H1" s="32"/>
      <c r="I1" s="32"/>
      <c r="J1" s="32"/>
      <c r="K1" s="33"/>
      <c r="L1" s="34"/>
      <c r="M1" s="35"/>
    </row>
    <row r="2" spans="1:22" ht="15.6" x14ac:dyDescent="0.3">
      <c r="A2" s="36"/>
      <c r="B2" s="768" t="str">
        <f>'WK1 - Identification'!E11</f>
        <v>Lismore City Council</v>
      </c>
      <c r="C2" s="769"/>
      <c r="D2" s="769"/>
      <c r="E2" s="769"/>
      <c r="F2" s="770"/>
      <c r="G2" s="38"/>
      <c r="H2" s="38"/>
      <c r="I2" s="38"/>
      <c r="J2" s="38"/>
      <c r="K2" s="39"/>
      <c r="L2" s="125"/>
      <c r="M2" s="41"/>
    </row>
    <row r="3" spans="1:22" ht="17.399999999999999" x14ac:dyDescent="0.3">
      <c r="A3" s="36"/>
      <c r="B3" s="42"/>
      <c r="C3" s="42"/>
      <c r="D3" s="38"/>
      <c r="E3" s="38"/>
      <c r="F3" s="43"/>
      <c r="G3" s="38"/>
      <c r="H3" s="38"/>
      <c r="I3" s="38"/>
      <c r="J3" s="38"/>
      <c r="K3" s="39"/>
      <c r="L3" s="44"/>
      <c r="M3" s="45"/>
    </row>
    <row r="4" spans="1:22" ht="24.6" x14ac:dyDescent="0.4">
      <c r="A4" s="36"/>
      <c r="B4" s="756" t="s">
        <v>187</v>
      </c>
      <c r="C4" s="756"/>
      <c r="D4" s="756"/>
      <c r="E4" s="756"/>
      <c r="F4" s="756"/>
      <c r="G4" s="756"/>
      <c r="H4" s="756"/>
      <c r="I4" s="756"/>
      <c r="J4" s="756"/>
      <c r="K4" s="756"/>
      <c r="L4" s="756"/>
      <c r="M4" s="46"/>
    </row>
    <row r="5" spans="1:22" x14ac:dyDescent="0.25">
      <c r="A5" s="36"/>
      <c r="B5" s="47"/>
      <c r="C5" s="47"/>
      <c r="D5" s="42"/>
      <c r="E5" s="42"/>
      <c r="F5" s="42"/>
      <c r="G5" s="42"/>
      <c r="H5" s="42"/>
      <c r="I5" s="42"/>
      <c r="J5" s="38"/>
      <c r="K5" s="39"/>
      <c r="L5" s="39"/>
      <c r="M5" s="48"/>
    </row>
    <row r="6" spans="1:22" ht="30" x14ac:dyDescent="0.5">
      <c r="A6" s="36"/>
      <c r="B6" s="773" t="str">
        <f>"Calculation of Notional General Income "&amp;'WK0 - Input data'!$E$23</f>
        <v>Calculation of Notional General Income 2017-18</v>
      </c>
      <c r="C6" s="773"/>
      <c r="D6" s="773"/>
      <c r="E6" s="773"/>
      <c r="F6" s="773"/>
      <c r="G6" s="773"/>
      <c r="H6" s="773"/>
      <c r="I6" s="773"/>
      <c r="J6" s="773"/>
      <c r="K6" s="773"/>
      <c r="L6" s="773"/>
      <c r="M6" s="48"/>
    </row>
    <row r="7" spans="1:22" ht="22.8" x14ac:dyDescent="0.4">
      <c r="A7" s="36"/>
      <c r="B7" s="771" t="s">
        <v>21</v>
      </c>
      <c r="C7" s="771"/>
      <c r="D7" s="771"/>
      <c r="E7" s="771"/>
      <c r="F7" s="771"/>
      <c r="G7" s="771"/>
      <c r="H7" s="771"/>
      <c r="I7" s="771"/>
      <c r="J7" s="771"/>
      <c r="K7" s="771"/>
      <c r="L7" s="771"/>
      <c r="M7" s="48"/>
    </row>
    <row r="8" spans="1:22" ht="22.8" x14ac:dyDescent="0.4">
      <c r="A8" s="36"/>
      <c r="B8" s="103"/>
      <c r="C8" s="103"/>
      <c r="D8" s="103"/>
      <c r="E8" s="103"/>
      <c r="F8" s="103"/>
      <c r="G8" s="103"/>
      <c r="H8" s="103"/>
      <c r="I8" s="103"/>
      <c r="J8" s="103"/>
      <c r="K8" s="103"/>
      <c r="L8" s="103"/>
      <c r="M8" s="48"/>
    </row>
    <row r="9" spans="1:22" ht="21" x14ac:dyDescent="0.4">
      <c r="A9" s="36"/>
      <c r="B9" s="745" t="s">
        <v>726</v>
      </c>
      <c r="C9" s="746"/>
      <c r="D9" s="746"/>
      <c r="E9" s="746"/>
      <c r="F9" s="746"/>
      <c r="G9" s="746"/>
      <c r="H9" s="746"/>
      <c r="I9" s="746"/>
      <c r="J9" s="746"/>
      <c r="K9" s="746"/>
      <c r="L9" s="746"/>
      <c r="M9" s="746"/>
      <c r="N9" s="746"/>
      <c r="O9" s="746"/>
    </row>
    <row r="10" spans="1:22" ht="15.6" x14ac:dyDescent="0.3">
      <c r="A10" s="36"/>
      <c r="B10" s="774"/>
      <c r="C10" s="774"/>
      <c r="D10" s="774"/>
      <c r="E10" s="774"/>
      <c r="F10" s="774"/>
      <c r="G10" s="774"/>
      <c r="H10" s="774"/>
      <c r="I10" s="774"/>
      <c r="J10" s="774"/>
      <c r="K10" s="774"/>
      <c r="L10" s="774"/>
      <c r="M10" s="45"/>
    </row>
    <row r="11" spans="1:22" ht="60.75" customHeight="1" x14ac:dyDescent="0.3">
      <c r="A11" s="36"/>
      <c r="B11" s="772" t="s">
        <v>22</v>
      </c>
      <c r="C11" s="772"/>
      <c r="D11" s="772"/>
      <c r="E11" s="772"/>
      <c r="F11" s="772"/>
      <c r="G11" s="772"/>
      <c r="H11" s="772"/>
      <c r="I11" s="772"/>
      <c r="J11" s="772"/>
      <c r="K11" s="772"/>
      <c r="L11" s="772"/>
      <c r="M11" s="45"/>
    </row>
    <row r="12" spans="1:22" ht="17.399999999999999" x14ac:dyDescent="0.3">
      <c r="A12" s="36"/>
      <c r="B12" s="185"/>
      <c r="C12" s="186"/>
      <c r="D12" s="186"/>
      <c r="E12" s="186"/>
      <c r="F12" s="186"/>
      <c r="G12" s="186"/>
      <c r="H12" s="186"/>
      <c r="I12" s="186"/>
      <c r="J12" s="186"/>
      <c r="K12" s="186"/>
      <c r="L12" s="186"/>
      <c r="M12" s="45"/>
    </row>
    <row r="13" spans="1:22" ht="22.8" x14ac:dyDescent="0.4">
      <c r="A13" s="36"/>
      <c r="B13" s="185"/>
      <c r="C13" s="775" t="s">
        <v>311</v>
      </c>
      <c r="D13" s="775"/>
      <c r="E13" s="775"/>
      <c r="F13" s="775"/>
      <c r="G13" s="775"/>
      <c r="H13" s="775"/>
      <c r="I13" s="775"/>
      <c r="J13" s="775"/>
      <c r="K13" s="775"/>
      <c r="L13" s="186"/>
      <c r="M13" s="45"/>
    </row>
    <row r="14" spans="1:22" ht="11.4" x14ac:dyDescent="0.2">
      <c r="A14" s="36"/>
      <c r="B14" s="38"/>
      <c r="C14" s="38"/>
      <c r="D14" s="38"/>
      <c r="E14" s="38"/>
      <c r="F14" s="38"/>
      <c r="G14" s="38"/>
      <c r="H14" s="38"/>
      <c r="I14" s="38"/>
      <c r="J14" s="38"/>
      <c r="K14" s="38"/>
      <c r="L14" s="38"/>
      <c r="M14" s="45"/>
    </row>
    <row r="15" spans="1:22" s="7" customFormat="1" ht="52.8" x14ac:dyDescent="0.2">
      <c r="A15" s="51"/>
      <c r="B15" s="52" t="s">
        <v>188</v>
      </c>
      <c r="C15" s="52" t="s">
        <v>189</v>
      </c>
      <c r="D15" s="52" t="s">
        <v>242</v>
      </c>
      <c r="E15" s="54" t="s">
        <v>471</v>
      </c>
      <c r="F15" s="52" t="s">
        <v>23</v>
      </c>
      <c r="G15" s="52" t="s">
        <v>191</v>
      </c>
      <c r="H15" s="53" t="s">
        <v>24</v>
      </c>
      <c r="I15" s="52" t="s">
        <v>192</v>
      </c>
      <c r="J15" s="54" t="s">
        <v>193</v>
      </c>
      <c r="K15" s="55" t="s">
        <v>194</v>
      </c>
      <c r="L15" s="365" t="s">
        <v>380</v>
      </c>
      <c r="M15" s="56"/>
    </row>
    <row r="16" spans="1:22" s="7" customFormat="1" ht="6" hidden="1" customHeight="1" x14ac:dyDescent="0.2">
      <c r="A16" s="8"/>
      <c r="B16" s="9" t="s">
        <v>195</v>
      </c>
      <c r="C16" s="9" t="s">
        <v>196</v>
      </c>
      <c r="D16" s="9" t="s">
        <v>197</v>
      </c>
      <c r="E16" s="9" t="s">
        <v>198</v>
      </c>
      <c r="F16" s="9" t="s">
        <v>199</v>
      </c>
      <c r="G16" s="10"/>
      <c r="H16" s="11" t="s">
        <v>200</v>
      </c>
      <c r="I16" s="9" t="s">
        <v>201</v>
      </c>
      <c r="J16" s="12" t="s">
        <v>202</v>
      </c>
      <c r="K16" s="12" t="s">
        <v>203</v>
      </c>
      <c r="L16" s="126" t="s">
        <v>204</v>
      </c>
      <c r="M16" s="56"/>
      <c r="O16" s="7" t="s">
        <v>195</v>
      </c>
      <c r="P16" s="7" t="s">
        <v>199</v>
      </c>
      <c r="Q16" s="7" t="s">
        <v>195</v>
      </c>
      <c r="R16" s="7" t="s">
        <v>199</v>
      </c>
      <c r="S16" s="7" t="s">
        <v>195</v>
      </c>
      <c r="T16" s="7" t="s">
        <v>199</v>
      </c>
      <c r="U16" s="7" t="s">
        <v>195</v>
      </c>
      <c r="V16" s="7" t="s">
        <v>199</v>
      </c>
    </row>
    <row r="17" spans="1:22" x14ac:dyDescent="0.2">
      <c r="A17" s="36"/>
      <c r="B17" s="494" t="s">
        <v>207</v>
      </c>
      <c r="C17" s="16" t="s">
        <v>780</v>
      </c>
      <c r="D17" s="17">
        <f>11420+1115</f>
        <v>12535</v>
      </c>
      <c r="E17" s="18">
        <v>0.58730000000000004</v>
      </c>
      <c r="F17" s="17">
        <v>386</v>
      </c>
      <c r="G17" s="57">
        <f>IF(F17="", "",D17*F17/L17)</f>
        <v>0.32996122102746295</v>
      </c>
      <c r="H17" s="17"/>
      <c r="I17" s="17"/>
      <c r="J17" s="19">
        <f>1487586124+185385900</f>
        <v>1672972024</v>
      </c>
      <c r="K17" s="583"/>
      <c r="L17" s="58">
        <f t="shared" ref="L17:L84" si="0">IF(D17="","",IF(F17&lt;&gt;"",F17*D17+J17*(E17/100),(J17-K17)*(E17/100)+H17*I17))</f>
        <v>14663874.696952</v>
      </c>
      <c r="M17" s="45"/>
      <c r="O17" s="3" t="s">
        <v>205</v>
      </c>
      <c r="P17" s="3" t="s">
        <v>206</v>
      </c>
      <c r="Q17" s="3" t="s">
        <v>207</v>
      </c>
      <c r="R17" s="3" t="s">
        <v>206</v>
      </c>
      <c r="S17" s="3" t="s">
        <v>208</v>
      </c>
      <c r="T17" s="3" t="s">
        <v>206</v>
      </c>
      <c r="U17" s="3" t="s">
        <v>209</v>
      </c>
      <c r="V17" s="3" t="s">
        <v>206</v>
      </c>
    </row>
    <row r="18" spans="1:22" x14ac:dyDescent="0.2">
      <c r="A18" s="36"/>
      <c r="B18" s="494" t="s">
        <v>207</v>
      </c>
      <c r="C18" s="16" t="s">
        <v>781</v>
      </c>
      <c r="D18" s="17">
        <v>2956</v>
      </c>
      <c r="E18" s="18">
        <v>0.47839999999999999</v>
      </c>
      <c r="F18" s="17">
        <v>386</v>
      </c>
      <c r="G18" s="57">
        <f t="shared" ref="G18:G81" si="1">IF(F18="", "",D18*F18/L18)</f>
        <v>0.26340680590778059</v>
      </c>
      <c r="H18" s="17"/>
      <c r="I18" s="17"/>
      <c r="J18" s="19">
        <v>666962280</v>
      </c>
      <c r="K18" s="583"/>
      <c r="L18" s="58">
        <f t="shared" si="0"/>
        <v>4331763.5475200005</v>
      </c>
      <c r="M18" s="45"/>
    </row>
    <row r="19" spans="1:22" x14ac:dyDescent="0.2">
      <c r="A19" s="36"/>
      <c r="B19" s="494" t="s">
        <v>207</v>
      </c>
      <c r="C19" s="16"/>
      <c r="D19" s="17"/>
      <c r="E19" s="18"/>
      <c r="F19" s="17"/>
      <c r="G19" s="57" t="str">
        <f t="shared" si="1"/>
        <v/>
      </c>
      <c r="H19" s="17"/>
      <c r="I19" s="17"/>
      <c r="J19" s="19"/>
      <c r="K19" s="583"/>
      <c r="L19" s="58" t="str">
        <f t="shared" si="0"/>
        <v/>
      </c>
      <c r="M19" s="45"/>
    </row>
    <row r="20" spans="1:22" x14ac:dyDescent="0.2">
      <c r="A20" s="36"/>
      <c r="B20" s="494" t="s">
        <v>207</v>
      </c>
      <c r="C20" s="16"/>
      <c r="D20" s="17"/>
      <c r="E20" s="18"/>
      <c r="F20" s="17"/>
      <c r="G20" s="57" t="str">
        <f t="shared" si="1"/>
        <v/>
      </c>
      <c r="H20" s="17"/>
      <c r="I20" s="17"/>
      <c r="J20" s="19"/>
      <c r="K20" s="583"/>
      <c r="L20" s="58" t="str">
        <f t="shared" si="0"/>
        <v/>
      </c>
      <c r="M20" s="45"/>
    </row>
    <row r="21" spans="1:22" x14ac:dyDescent="0.2">
      <c r="A21" s="36"/>
      <c r="B21" s="494" t="s">
        <v>207</v>
      </c>
      <c r="C21" s="16"/>
      <c r="D21" s="17"/>
      <c r="E21" s="18"/>
      <c r="F21" s="17"/>
      <c r="G21" s="57" t="str">
        <f t="shared" si="1"/>
        <v/>
      </c>
      <c r="H21" s="17"/>
      <c r="I21" s="17"/>
      <c r="J21" s="19"/>
      <c r="K21" s="583"/>
      <c r="L21" s="58" t="str">
        <f t="shared" si="0"/>
        <v/>
      </c>
      <c r="M21" s="45"/>
    </row>
    <row r="22" spans="1:22" x14ac:dyDescent="0.2">
      <c r="A22" s="36"/>
      <c r="B22" s="494" t="s">
        <v>207</v>
      </c>
      <c r="C22" s="16"/>
      <c r="D22" s="17"/>
      <c r="E22" s="18"/>
      <c r="F22" s="17"/>
      <c r="G22" s="57" t="str">
        <f t="shared" si="1"/>
        <v/>
      </c>
      <c r="H22" s="17"/>
      <c r="I22" s="17"/>
      <c r="J22" s="583"/>
      <c r="K22" s="583"/>
      <c r="L22" s="58" t="str">
        <f t="shared" si="0"/>
        <v/>
      </c>
      <c r="M22" s="45"/>
    </row>
    <row r="23" spans="1:22" x14ac:dyDescent="0.2">
      <c r="A23" s="36"/>
      <c r="B23" s="494" t="s">
        <v>207</v>
      </c>
      <c r="C23" s="16"/>
      <c r="D23" s="17"/>
      <c r="E23" s="18"/>
      <c r="F23" s="17"/>
      <c r="G23" s="57" t="str">
        <f t="shared" si="1"/>
        <v/>
      </c>
      <c r="H23" s="17"/>
      <c r="I23" s="17"/>
      <c r="J23" s="583"/>
      <c r="K23" s="583"/>
      <c r="L23" s="58" t="str">
        <f t="shared" si="0"/>
        <v/>
      </c>
      <c r="M23" s="45"/>
    </row>
    <row r="24" spans="1:22" x14ac:dyDescent="0.2">
      <c r="A24" s="36"/>
      <c r="B24" s="494" t="s">
        <v>207</v>
      </c>
      <c r="C24" s="16"/>
      <c r="D24" s="17"/>
      <c r="E24" s="18"/>
      <c r="F24" s="17"/>
      <c r="G24" s="57" t="str">
        <f t="shared" si="1"/>
        <v/>
      </c>
      <c r="H24" s="17"/>
      <c r="I24" s="17"/>
      <c r="J24" s="583"/>
      <c r="K24" s="583"/>
      <c r="L24" s="58" t="str">
        <f t="shared" si="0"/>
        <v/>
      </c>
      <c r="M24" s="45"/>
    </row>
    <row r="25" spans="1:22" x14ac:dyDescent="0.2">
      <c r="A25" s="36"/>
      <c r="B25" s="494" t="s">
        <v>207</v>
      </c>
      <c r="C25" s="16"/>
      <c r="D25" s="17"/>
      <c r="E25" s="18"/>
      <c r="F25" s="17"/>
      <c r="G25" s="57" t="str">
        <f t="shared" si="1"/>
        <v/>
      </c>
      <c r="H25" s="17"/>
      <c r="I25" s="17"/>
      <c r="J25" s="583"/>
      <c r="K25" s="583"/>
      <c r="L25" s="58" t="str">
        <f t="shared" si="0"/>
        <v/>
      </c>
      <c r="M25" s="45"/>
    </row>
    <row r="26" spans="1:22" x14ac:dyDescent="0.2">
      <c r="A26" s="36"/>
      <c r="B26" s="494" t="s">
        <v>207</v>
      </c>
      <c r="C26" s="16"/>
      <c r="D26" s="17"/>
      <c r="E26" s="18"/>
      <c r="F26" s="17"/>
      <c r="G26" s="57" t="str">
        <f t="shared" si="1"/>
        <v/>
      </c>
      <c r="H26" s="17"/>
      <c r="I26" s="17"/>
      <c r="J26" s="583"/>
      <c r="K26" s="583"/>
      <c r="L26" s="58" t="str">
        <f t="shared" si="0"/>
        <v/>
      </c>
      <c r="M26" s="45"/>
    </row>
    <row r="27" spans="1:22" x14ac:dyDescent="0.2">
      <c r="A27" s="36"/>
      <c r="B27" s="494" t="s">
        <v>207</v>
      </c>
      <c r="C27" s="16"/>
      <c r="D27" s="17"/>
      <c r="E27" s="18"/>
      <c r="F27" s="17"/>
      <c r="G27" s="57" t="str">
        <f t="shared" si="1"/>
        <v/>
      </c>
      <c r="H27" s="17"/>
      <c r="I27" s="17"/>
      <c r="J27" s="583"/>
      <c r="K27" s="583"/>
      <c r="L27" s="58" t="str">
        <f t="shared" si="0"/>
        <v/>
      </c>
      <c r="M27" s="45"/>
    </row>
    <row r="28" spans="1:22" x14ac:dyDescent="0.2">
      <c r="A28" s="36"/>
      <c r="B28" s="494" t="s">
        <v>207</v>
      </c>
      <c r="C28" s="16"/>
      <c r="D28" s="17"/>
      <c r="E28" s="18"/>
      <c r="F28" s="17"/>
      <c r="G28" s="57" t="str">
        <f t="shared" si="1"/>
        <v/>
      </c>
      <c r="H28" s="17"/>
      <c r="I28" s="17"/>
      <c r="J28" s="583"/>
      <c r="K28" s="583"/>
      <c r="L28" s="58" t="str">
        <f t="shared" si="0"/>
        <v/>
      </c>
      <c r="M28" s="45"/>
    </row>
    <row r="29" spans="1:22" x14ac:dyDescent="0.2">
      <c r="A29" s="36"/>
      <c r="B29" s="494" t="s">
        <v>207</v>
      </c>
      <c r="C29" s="16"/>
      <c r="D29" s="17"/>
      <c r="E29" s="18"/>
      <c r="F29" s="17"/>
      <c r="G29" s="57" t="str">
        <f t="shared" si="1"/>
        <v/>
      </c>
      <c r="H29" s="17"/>
      <c r="I29" s="17"/>
      <c r="J29" s="583"/>
      <c r="K29" s="583"/>
      <c r="L29" s="58" t="str">
        <f t="shared" si="0"/>
        <v/>
      </c>
      <c r="M29" s="45"/>
    </row>
    <row r="30" spans="1:22" x14ac:dyDescent="0.2">
      <c r="A30" s="36"/>
      <c r="B30" s="494" t="s">
        <v>207</v>
      </c>
      <c r="C30" s="16"/>
      <c r="D30" s="17"/>
      <c r="E30" s="18"/>
      <c r="F30" s="17"/>
      <c r="G30" s="57" t="str">
        <f t="shared" si="1"/>
        <v/>
      </c>
      <c r="H30" s="17"/>
      <c r="I30" s="17"/>
      <c r="J30" s="583"/>
      <c r="K30" s="583"/>
      <c r="L30" s="58" t="str">
        <f t="shared" si="0"/>
        <v/>
      </c>
      <c r="M30" s="45"/>
    </row>
    <row r="31" spans="1:22" x14ac:dyDescent="0.2">
      <c r="A31" s="36"/>
      <c r="B31" s="494" t="s">
        <v>207</v>
      </c>
      <c r="C31" s="16"/>
      <c r="D31" s="17"/>
      <c r="E31" s="18"/>
      <c r="F31" s="17"/>
      <c r="G31" s="57" t="str">
        <f t="shared" si="1"/>
        <v/>
      </c>
      <c r="H31" s="17"/>
      <c r="I31" s="17"/>
      <c r="J31" s="583"/>
      <c r="K31" s="583"/>
      <c r="L31" s="58" t="str">
        <f t="shared" si="0"/>
        <v/>
      </c>
      <c r="M31" s="45"/>
    </row>
    <row r="32" spans="1:22" x14ac:dyDescent="0.2">
      <c r="A32" s="36"/>
      <c r="B32" s="494" t="s">
        <v>207</v>
      </c>
      <c r="C32" s="16"/>
      <c r="D32" s="17"/>
      <c r="E32" s="18"/>
      <c r="F32" s="17"/>
      <c r="G32" s="57" t="str">
        <f t="shared" si="1"/>
        <v/>
      </c>
      <c r="H32" s="17"/>
      <c r="I32" s="17"/>
      <c r="J32" s="583"/>
      <c r="K32" s="583"/>
      <c r="L32" s="58" t="str">
        <f t="shared" si="0"/>
        <v/>
      </c>
      <c r="M32" s="45"/>
    </row>
    <row r="33" spans="1:23" x14ac:dyDescent="0.2">
      <c r="A33" s="36"/>
      <c r="B33" s="494" t="s">
        <v>207</v>
      </c>
      <c r="C33" s="16"/>
      <c r="D33" s="17"/>
      <c r="E33" s="18"/>
      <c r="F33" s="17"/>
      <c r="G33" s="57" t="str">
        <f t="shared" si="1"/>
        <v/>
      </c>
      <c r="H33" s="17"/>
      <c r="I33" s="17"/>
      <c r="J33" s="583"/>
      <c r="K33" s="583"/>
      <c r="L33" s="58" t="str">
        <f t="shared" si="0"/>
        <v/>
      </c>
      <c r="M33" s="45"/>
    </row>
    <row r="34" spans="1:23" x14ac:dyDescent="0.2">
      <c r="A34" s="36"/>
      <c r="B34" s="494" t="s">
        <v>207</v>
      </c>
      <c r="C34" s="16"/>
      <c r="D34" s="17"/>
      <c r="E34" s="18"/>
      <c r="F34" s="17"/>
      <c r="G34" s="57" t="str">
        <f t="shared" si="1"/>
        <v/>
      </c>
      <c r="H34" s="17"/>
      <c r="I34" s="17"/>
      <c r="J34" s="583"/>
      <c r="K34" s="583"/>
      <c r="L34" s="58" t="str">
        <f t="shared" si="0"/>
        <v/>
      </c>
      <c r="M34" s="45"/>
    </row>
    <row r="35" spans="1:23" x14ac:dyDescent="0.2">
      <c r="A35" s="36"/>
      <c r="B35" s="494" t="s">
        <v>207</v>
      </c>
      <c r="C35" s="16"/>
      <c r="D35" s="17"/>
      <c r="E35" s="18"/>
      <c r="F35" s="17"/>
      <c r="G35" s="57" t="str">
        <f t="shared" si="1"/>
        <v/>
      </c>
      <c r="H35" s="17"/>
      <c r="I35" s="17"/>
      <c r="J35" s="583"/>
      <c r="K35" s="583"/>
      <c r="L35" s="58" t="str">
        <f t="shared" si="0"/>
        <v/>
      </c>
      <c r="M35" s="45"/>
    </row>
    <row r="36" spans="1:23" x14ac:dyDescent="0.2">
      <c r="A36" s="36"/>
      <c r="B36" s="494" t="s">
        <v>207</v>
      </c>
      <c r="C36" s="16"/>
      <c r="D36" s="17"/>
      <c r="E36" s="18"/>
      <c r="F36" s="17"/>
      <c r="G36" s="57" t="str">
        <f t="shared" si="1"/>
        <v/>
      </c>
      <c r="H36" s="17"/>
      <c r="I36" s="17"/>
      <c r="J36" s="583"/>
      <c r="K36" s="583"/>
      <c r="L36" s="58" t="str">
        <f t="shared" si="0"/>
        <v/>
      </c>
      <c r="M36" s="45"/>
    </row>
    <row r="37" spans="1:23" s="451" customFormat="1" x14ac:dyDescent="0.25">
      <c r="A37" s="447"/>
      <c r="B37" s="452"/>
      <c r="C37" s="452" t="s">
        <v>453</v>
      </c>
      <c r="D37" s="542">
        <f>SUM(D17:D36)</f>
        <v>15491</v>
      </c>
      <c r="E37" s="453"/>
      <c r="F37" s="453"/>
      <c r="G37" s="453"/>
      <c r="H37" s="453"/>
      <c r="I37" s="471">
        <f>SUM(I17:I36)</f>
        <v>0</v>
      </c>
      <c r="J37" s="471">
        <f>SUM(J17:J36)</f>
        <v>2339934304</v>
      </c>
      <c r="K37" s="471">
        <f>SUM(K17:K36)</f>
        <v>0</v>
      </c>
      <c r="L37" s="471">
        <f>SUM(L17:L36)</f>
        <v>18995638.244472001</v>
      </c>
      <c r="M37" s="449"/>
      <c r="W37" s="3"/>
    </row>
    <row r="38" spans="1:23" x14ac:dyDescent="0.2">
      <c r="A38" s="36"/>
      <c r="B38" s="494" t="s">
        <v>209</v>
      </c>
      <c r="C38" s="16" t="s">
        <v>782</v>
      </c>
      <c r="D38" s="17">
        <v>234</v>
      </c>
      <c r="E38" s="18">
        <v>5.3783000000000003</v>
      </c>
      <c r="F38" s="17">
        <v>386</v>
      </c>
      <c r="G38" s="57">
        <f t="shared" si="1"/>
        <v>4.6850406373020251E-2</v>
      </c>
      <c r="H38" s="17"/>
      <c r="I38" s="17"/>
      <c r="J38" s="19">
        <v>34166921</v>
      </c>
      <c r="K38" s="583"/>
      <c r="L38" s="58">
        <f t="shared" si="0"/>
        <v>1927923.5121430003</v>
      </c>
      <c r="M38" s="45"/>
    </row>
    <row r="39" spans="1:23" x14ac:dyDescent="0.2">
      <c r="A39" s="36"/>
      <c r="B39" s="494" t="s">
        <v>209</v>
      </c>
      <c r="C39" s="16" t="s">
        <v>783</v>
      </c>
      <c r="D39" s="17">
        <v>863</v>
      </c>
      <c r="E39" s="18">
        <v>1.5249999999999999</v>
      </c>
      <c r="F39" s="17">
        <v>386</v>
      </c>
      <c r="G39" s="57">
        <f t="shared" si="1"/>
        <v>8.7486044537779278E-2</v>
      </c>
      <c r="H39" s="17"/>
      <c r="I39" s="17"/>
      <c r="J39" s="19">
        <v>227839485</v>
      </c>
      <c r="K39" s="583"/>
      <c r="L39" s="58">
        <f t="shared" si="0"/>
        <v>3807670.1462499998</v>
      </c>
      <c r="M39" s="45"/>
    </row>
    <row r="40" spans="1:23" x14ac:dyDescent="0.2">
      <c r="A40" s="36"/>
      <c r="B40" s="494" t="s">
        <v>209</v>
      </c>
      <c r="C40" s="16" t="s">
        <v>784</v>
      </c>
      <c r="D40" s="17">
        <v>84</v>
      </c>
      <c r="E40" s="18">
        <v>0.84189999999999998</v>
      </c>
      <c r="F40" s="17">
        <v>386</v>
      </c>
      <c r="G40" s="57">
        <f t="shared" si="1"/>
        <v>0.22777263455834013</v>
      </c>
      <c r="H40" s="17"/>
      <c r="I40" s="17"/>
      <c r="J40" s="19">
        <v>13057190</v>
      </c>
      <c r="K40" s="583"/>
      <c r="L40" s="58">
        <f t="shared" si="0"/>
        <v>142352.48261000001</v>
      </c>
      <c r="M40" s="45"/>
    </row>
    <row r="41" spans="1:23" x14ac:dyDescent="0.2">
      <c r="A41" s="36"/>
      <c r="B41" s="494" t="s">
        <v>209</v>
      </c>
      <c r="C41" s="16" t="s">
        <v>785</v>
      </c>
      <c r="D41" s="17">
        <v>40</v>
      </c>
      <c r="E41" s="18">
        <v>1.0603</v>
      </c>
      <c r="F41" s="17">
        <v>386</v>
      </c>
      <c r="G41" s="57">
        <f t="shared" si="1"/>
        <v>0.1661296725847981</v>
      </c>
      <c r="H41" s="17"/>
      <c r="I41" s="17"/>
      <c r="J41" s="583">
        <v>7309200</v>
      </c>
      <c r="K41" s="583"/>
      <c r="L41" s="58">
        <f t="shared" si="0"/>
        <v>92939.4476</v>
      </c>
      <c r="M41" s="45"/>
    </row>
    <row r="42" spans="1:23" x14ac:dyDescent="0.2">
      <c r="A42" s="36"/>
      <c r="B42" s="494" t="s">
        <v>209</v>
      </c>
      <c r="C42" s="16"/>
      <c r="D42" s="17"/>
      <c r="E42" s="18"/>
      <c r="F42" s="17"/>
      <c r="G42" s="57" t="str">
        <f t="shared" si="1"/>
        <v/>
      </c>
      <c r="H42" s="17"/>
      <c r="I42" s="17"/>
      <c r="J42" s="583"/>
      <c r="K42" s="583"/>
      <c r="L42" s="58" t="str">
        <f t="shared" si="0"/>
        <v/>
      </c>
      <c r="M42" s="45"/>
    </row>
    <row r="43" spans="1:23" x14ac:dyDescent="0.2">
      <c r="A43" s="36"/>
      <c r="B43" s="494" t="s">
        <v>209</v>
      </c>
      <c r="C43" s="16"/>
      <c r="D43" s="17"/>
      <c r="E43" s="18"/>
      <c r="F43" s="17"/>
      <c r="G43" s="57" t="str">
        <f t="shared" si="1"/>
        <v/>
      </c>
      <c r="H43" s="17"/>
      <c r="I43" s="17"/>
      <c r="J43" s="583"/>
      <c r="K43" s="583"/>
      <c r="L43" s="58" t="str">
        <f t="shared" si="0"/>
        <v/>
      </c>
      <c r="M43" s="45"/>
    </row>
    <row r="44" spans="1:23" x14ac:dyDescent="0.2">
      <c r="A44" s="36"/>
      <c r="B44" s="494" t="s">
        <v>209</v>
      </c>
      <c r="C44" s="16"/>
      <c r="D44" s="17"/>
      <c r="E44" s="18"/>
      <c r="F44" s="17"/>
      <c r="G44" s="57" t="str">
        <f t="shared" si="1"/>
        <v/>
      </c>
      <c r="H44" s="17"/>
      <c r="I44" s="17"/>
      <c r="J44" s="583"/>
      <c r="K44" s="583"/>
      <c r="L44" s="58" t="str">
        <f t="shared" si="0"/>
        <v/>
      </c>
      <c r="M44" s="45"/>
    </row>
    <row r="45" spans="1:23" x14ac:dyDescent="0.2">
      <c r="A45" s="36"/>
      <c r="B45" s="494" t="s">
        <v>209</v>
      </c>
      <c r="C45" s="16"/>
      <c r="D45" s="17"/>
      <c r="E45" s="18"/>
      <c r="F45" s="17"/>
      <c r="G45" s="57" t="str">
        <f t="shared" si="1"/>
        <v/>
      </c>
      <c r="H45" s="17"/>
      <c r="I45" s="17"/>
      <c r="J45" s="583"/>
      <c r="K45" s="583"/>
      <c r="L45" s="58" t="str">
        <f t="shared" si="0"/>
        <v/>
      </c>
      <c r="M45" s="45"/>
    </row>
    <row r="46" spans="1:23" x14ac:dyDescent="0.2">
      <c r="A46" s="36"/>
      <c r="B46" s="494" t="s">
        <v>209</v>
      </c>
      <c r="C46" s="16"/>
      <c r="D46" s="17"/>
      <c r="E46" s="18"/>
      <c r="F46" s="17"/>
      <c r="G46" s="57" t="str">
        <f t="shared" si="1"/>
        <v/>
      </c>
      <c r="H46" s="17"/>
      <c r="I46" s="17"/>
      <c r="J46" s="19"/>
      <c r="K46" s="19"/>
      <c r="L46" s="58" t="str">
        <f t="shared" si="0"/>
        <v/>
      </c>
      <c r="M46" s="45"/>
    </row>
    <row r="47" spans="1:23" x14ac:dyDescent="0.2">
      <c r="A47" s="36"/>
      <c r="B47" s="494" t="s">
        <v>209</v>
      </c>
      <c r="C47" s="16"/>
      <c r="D47" s="17"/>
      <c r="E47" s="18"/>
      <c r="F47" s="17"/>
      <c r="G47" s="57" t="str">
        <f t="shared" si="1"/>
        <v/>
      </c>
      <c r="H47" s="17"/>
      <c r="I47" s="17"/>
      <c r="J47" s="19"/>
      <c r="K47" s="19"/>
      <c r="L47" s="58" t="str">
        <f t="shared" si="0"/>
        <v/>
      </c>
      <c r="M47" s="45"/>
    </row>
    <row r="48" spans="1:23" x14ac:dyDescent="0.2">
      <c r="A48" s="36"/>
      <c r="B48" s="494" t="s">
        <v>209</v>
      </c>
      <c r="C48" s="16"/>
      <c r="D48" s="17"/>
      <c r="E48" s="18"/>
      <c r="F48" s="17"/>
      <c r="G48" s="57" t="str">
        <f t="shared" si="1"/>
        <v/>
      </c>
      <c r="H48" s="17"/>
      <c r="I48" s="17"/>
      <c r="J48" s="19"/>
      <c r="K48" s="19"/>
      <c r="L48" s="58" t="str">
        <f t="shared" si="0"/>
        <v/>
      </c>
      <c r="M48" s="45"/>
    </row>
    <row r="49" spans="1:23" x14ac:dyDescent="0.2">
      <c r="A49" s="36"/>
      <c r="B49" s="494" t="s">
        <v>209</v>
      </c>
      <c r="C49" s="16"/>
      <c r="D49" s="17"/>
      <c r="E49" s="18"/>
      <c r="F49" s="17"/>
      <c r="G49" s="57" t="str">
        <f t="shared" si="1"/>
        <v/>
      </c>
      <c r="H49" s="17"/>
      <c r="I49" s="17"/>
      <c r="J49" s="19"/>
      <c r="K49" s="19"/>
      <c r="L49" s="58" t="str">
        <f t="shared" si="0"/>
        <v/>
      </c>
      <c r="M49" s="45"/>
    </row>
    <row r="50" spans="1:23" x14ac:dyDescent="0.2">
      <c r="A50" s="36"/>
      <c r="B50" s="494" t="s">
        <v>209</v>
      </c>
      <c r="C50" s="16"/>
      <c r="D50" s="17"/>
      <c r="E50" s="18"/>
      <c r="F50" s="17"/>
      <c r="G50" s="57" t="str">
        <f t="shared" si="1"/>
        <v/>
      </c>
      <c r="H50" s="17"/>
      <c r="I50" s="17"/>
      <c r="J50" s="19"/>
      <c r="K50" s="19"/>
      <c r="L50" s="58" t="str">
        <f t="shared" si="0"/>
        <v/>
      </c>
      <c r="M50" s="45"/>
    </row>
    <row r="51" spans="1:23" x14ac:dyDescent="0.2">
      <c r="A51" s="36"/>
      <c r="B51" s="494" t="s">
        <v>209</v>
      </c>
      <c r="C51" s="16"/>
      <c r="D51" s="17"/>
      <c r="E51" s="18"/>
      <c r="F51" s="17"/>
      <c r="G51" s="57" t="str">
        <f t="shared" si="1"/>
        <v/>
      </c>
      <c r="H51" s="17"/>
      <c r="I51" s="17"/>
      <c r="J51" s="19"/>
      <c r="K51" s="19"/>
      <c r="L51" s="58" t="str">
        <f t="shared" si="0"/>
        <v/>
      </c>
      <c r="M51" s="45"/>
    </row>
    <row r="52" spans="1:23" x14ac:dyDescent="0.2">
      <c r="A52" s="36"/>
      <c r="B52" s="494" t="s">
        <v>209</v>
      </c>
      <c r="C52" s="16"/>
      <c r="D52" s="17"/>
      <c r="E52" s="18"/>
      <c r="F52" s="17"/>
      <c r="G52" s="57" t="str">
        <f t="shared" si="1"/>
        <v/>
      </c>
      <c r="H52" s="17"/>
      <c r="I52" s="17"/>
      <c r="J52" s="19"/>
      <c r="K52" s="19"/>
      <c r="L52" s="58" t="str">
        <f t="shared" si="0"/>
        <v/>
      </c>
      <c r="M52" s="45"/>
    </row>
    <row r="53" spans="1:23" x14ac:dyDescent="0.2">
      <c r="A53" s="36"/>
      <c r="B53" s="494" t="s">
        <v>209</v>
      </c>
      <c r="C53" s="16"/>
      <c r="D53" s="17"/>
      <c r="E53" s="18"/>
      <c r="F53" s="17"/>
      <c r="G53" s="57" t="str">
        <f t="shared" si="1"/>
        <v/>
      </c>
      <c r="H53" s="17"/>
      <c r="I53" s="17"/>
      <c r="J53" s="19"/>
      <c r="K53" s="19"/>
      <c r="L53" s="58" t="str">
        <f t="shared" si="0"/>
        <v/>
      </c>
      <c r="M53" s="45"/>
    </row>
    <row r="54" spans="1:23" x14ac:dyDescent="0.2">
      <c r="A54" s="36"/>
      <c r="B54" s="494" t="s">
        <v>209</v>
      </c>
      <c r="C54" s="16"/>
      <c r="D54" s="17"/>
      <c r="E54" s="18"/>
      <c r="F54" s="17"/>
      <c r="G54" s="57" t="str">
        <f t="shared" si="1"/>
        <v/>
      </c>
      <c r="H54" s="17"/>
      <c r="I54" s="17"/>
      <c r="J54" s="19"/>
      <c r="K54" s="19"/>
      <c r="L54" s="58" t="str">
        <f t="shared" si="0"/>
        <v/>
      </c>
      <c r="M54" s="45"/>
    </row>
    <row r="55" spans="1:23" x14ac:dyDescent="0.2">
      <c r="A55" s="36"/>
      <c r="B55" s="494" t="s">
        <v>209</v>
      </c>
      <c r="C55" s="16"/>
      <c r="D55" s="17"/>
      <c r="E55" s="18"/>
      <c r="F55" s="17"/>
      <c r="G55" s="57" t="str">
        <f t="shared" si="1"/>
        <v/>
      </c>
      <c r="H55" s="17"/>
      <c r="I55" s="17"/>
      <c r="J55" s="19"/>
      <c r="K55" s="19"/>
      <c r="L55" s="58" t="str">
        <f t="shared" si="0"/>
        <v/>
      </c>
      <c r="M55" s="45"/>
    </row>
    <row r="56" spans="1:23" x14ac:dyDescent="0.2">
      <c r="A56" s="36"/>
      <c r="B56" s="494" t="s">
        <v>209</v>
      </c>
      <c r="C56" s="16"/>
      <c r="D56" s="17"/>
      <c r="E56" s="18"/>
      <c r="F56" s="17"/>
      <c r="G56" s="57" t="str">
        <f t="shared" si="1"/>
        <v/>
      </c>
      <c r="H56" s="17"/>
      <c r="I56" s="17"/>
      <c r="J56" s="19"/>
      <c r="K56" s="19"/>
      <c r="L56" s="58" t="str">
        <f t="shared" si="0"/>
        <v/>
      </c>
      <c r="M56" s="45"/>
    </row>
    <row r="57" spans="1:23" x14ac:dyDescent="0.2">
      <c r="A57" s="36"/>
      <c r="B57" s="494" t="s">
        <v>209</v>
      </c>
      <c r="C57" s="16"/>
      <c r="D57" s="17"/>
      <c r="E57" s="18"/>
      <c r="F57" s="17"/>
      <c r="G57" s="57" t="str">
        <f t="shared" si="1"/>
        <v/>
      </c>
      <c r="H57" s="17"/>
      <c r="I57" s="17"/>
      <c r="J57" s="19"/>
      <c r="K57" s="19"/>
      <c r="L57" s="58" t="str">
        <f t="shared" si="0"/>
        <v/>
      </c>
      <c r="M57" s="45"/>
    </row>
    <row r="58" spans="1:23" x14ac:dyDescent="0.2">
      <c r="A58" s="36"/>
      <c r="B58" s="494" t="s">
        <v>209</v>
      </c>
      <c r="C58" s="16"/>
      <c r="D58" s="17"/>
      <c r="E58" s="18"/>
      <c r="F58" s="17"/>
      <c r="G58" s="57" t="str">
        <f t="shared" si="1"/>
        <v/>
      </c>
      <c r="H58" s="17"/>
      <c r="I58" s="17"/>
      <c r="J58" s="19"/>
      <c r="K58" s="19"/>
      <c r="L58" s="58" t="str">
        <f t="shared" si="0"/>
        <v/>
      </c>
      <c r="M58" s="45"/>
    </row>
    <row r="59" spans="1:23" x14ac:dyDescent="0.2">
      <c r="A59" s="36"/>
      <c r="B59" s="494" t="s">
        <v>209</v>
      </c>
      <c r="C59" s="16"/>
      <c r="D59" s="17"/>
      <c r="E59" s="18"/>
      <c r="F59" s="17"/>
      <c r="G59" s="57" t="str">
        <f t="shared" si="1"/>
        <v/>
      </c>
      <c r="H59" s="17"/>
      <c r="I59" s="17"/>
      <c r="J59" s="19"/>
      <c r="K59" s="19"/>
      <c r="L59" s="58" t="str">
        <f t="shared" si="0"/>
        <v/>
      </c>
      <c r="M59" s="45"/>
    </row>
    <row r="60" spans="1:23" x14ac:dyDescent="0.2">
      <c r="A60" s="36"/>
      <c r="B60" s="494" t="s">
        <v>209</v>
      </c>
      <c r="C60" s="16"/>
      <c r="D60" s="17"/>
      <c r="E60" s="18"/>
      <c r="F60" s="17"/>
      <c r="G60" s="57" t="str">
        <f t="shared" si="1"/>
        <v/>
      </c>
      <c r="H60" s="17"/>
      <c r="I60" s="17"/>
      <c r="J60" s="19"/>
      <c r="K60" s="19"/>
      <c r="L60" s="58" t="str">
        <f t="shared" si="0"/>
        <v/>
      </c>
      <c r="M60" s="45"/>
    </row>
    <row r="61" spans="1:23" x14ac:dyDescent="0.2">
      <c r="A61" s="36"/>
      <c r="B61" s="494" t="s">
        <v>209</v>
      </c>
      <c r="C61" s="16"/>
      <c r="D61" s="17"/>
      <c r="E61" s="18"/>
      <c r="F61" s="17"/>
      <c r="G61" s="57" t="str">
        <f t="shared" si="1"/>
        <v/>
      </c>
      <c r="H61" s="17"/>
      <c r="I61" s="17"/>
      <c r="J61" s="19"/>
      <c r="K61" s="19"/>
      <c r="L61" s="58" t="str">
        <f t="shared" si="0"/>
        <v/>
      </c>
      <c r="M61" s="45"/>
    </row>
    <row r="62" spans="1:23" x14ac:dyDescent="0.2">
      <c r="A62" s="36"/>
      <c r="B62" s="494" t="s">
        <v>209</v>
      </c>
      <c r="C62" s="16"/>
      <c r="D62" s="17"/>
      <c r="E62" s="18"/>
      <c r="F62" s="17"/>
      <c r="G62" s="57" t="str">
        <f t="shared" si="1"/>
        <v/>
      </c>
      <c r="H62" s="17"/>
      <c r="I62" s="17"/>
      <c r="J62" s="19"/>
      <c r="K62" s="19"/>
      <c r="L62" s="58" t="str">
        <f t="shared" si="0"/>
        <v/>
      </c>
      <c r="M62" s="45"/>
    </row>
    <row r="63" spans="1:23" s="451" customFormat="1" x14ac:dyDescent="0.25">
      <c r="A63" s="447"/>
      <c r="B63" s="494"/>
      <c r="C63" s="452" t="s">
        <v>452</v>
      </c>
      <c r="D63" s="453">
        <f>SUM(D38:D62)</f>
        <v>1221</v>
      </c>
      <c r="E63" s="453"/>
      <c r="F63" s="453"/>
      <c r="G63" s="57"/>
      <c r="H63" s="453"/>
      <c r="I63" s="471">
        <f>SUM(I38:I62)</f>
        <v>0</v>
      </c>
      <c r="J63" s="471">
        <f>SUM(J38:J62)</f>
        <v>282372796</v>
      </c>
      <c r="K63" s="471">
        <f>SUM(K38:K62)</f>
        <v>0</v>
      </c>
      <c r="L63" s="471">
        <f>SUM(L38:L62)</f>
        <v>5970885.5886030002</v>
      </c>
      <c r="M63" s="449"/>
      <c r="W63" s="3"/>
    </row>
    <row r="64" spans="1:23" x14ac:dyDescent="0.2">
      <c r="A64" s="36"/>
      <c r="B64" s="494" t="s">
        <v>205</v>
      </c>
      <c r="C64" s="16"/>
      <c r="D64" s="17">
        <v>1901</v>
      </c>
      <c r="E64" s="18">
        <v>0.47210000000000002</v>
      </c>
      <c r="F64" s="17">
        <v>386</v>
      </c>
      <c r="G64" s="57">
        <f t="shared" si="1"/>
        <v>0.16453668483179776</v>
      </c>
      <c r="H64" s="17"/>
      <c r="I64" s="17"/>
      <c r="J64" s="19">
        <v>789223600</v>
      </c>
      <c r="K64" s="583"/>
      <c r="L64" s="58">
        <f t="shared" si="0"/>
        <v>4459710.6156000001</v>
      </c>
      <c r="M64" s="45"/>
    </row>
    <row r="65" spans="1:23" x14ac:dyDescent="0.2">
      <c r="A65" s="36"/>
      <c r="B65" s="494" t="s">
        <v>205</v>
      </c>
      <c r="C65" s="16"/>
      <c r="D65" s="17"/>
      <c r="E65" s="18"/>
      <c r="F65" s="17"/>
      <c r="G65" s="57" t="str">
        <f t="shared" si="1"/>
        <v/>
      </c>
      <c r="H65" s="17"/>
      <c r="I65" s="17"/>
      <c r="J65" s="19"/>
      <c r="K65" s="583"/>
      <c r="L65" s="58" t="str">
        <f t="shared" si="0"/>
        <v/>
      </c>
      <c r="M65" s="45"/>
    </row>
    <row r="66" spans="1:23" x14ac:dyDescent="0.2">
      <c r="A66" s="36"/>
      <c r="B66" s="494" t="s">
        <v>205</v>
      </c>
      <c r="C66" s="16"/>
      <c r="D66" s="17"/>
      <c r="E66" s="18"/>
      <c r="F66" s="17"/>
      <c r="G66" s="57" t="str">
        <f t="shared" si="1"/>
        <v/>
      </c>
      <c r="H66" s="17"/>
      <c r="I66" s="17"/>
      <c r="J66" s="583"/>
      <c r="K66" s="583"/>
      <c r="L66" s="58" t="str">
        <f t="shared" si="0"/>
        <v/>
      </c>
      <c r="M66" s="45"/>
    </row>
    <row r="67" spans="1:23" x14ac:dyDescent="0.2">
      <c r="A67" s="36"/>
      <c r="B67" s="494" t="s">
        <v>205</v>
      </c>
      <c r="C67" s="16"/>
      <c r="D67" s="17"/>
      <c r="E67" s="18"/>
      <c r="F67" s="17"/>
      <c r="G67" s="57" t="str">
        <f t="shared" si="1"/>
        <v/>
      </c>
      <c r="H67" s="17"/>
      <c r="I67" s="17"/>
      <c r="J67" s="583"/>
      <c r="K67" s="583"/>
      <c r="L67" s="58" t="str">
        <f t="shared" si="0"/>
        <v/>
      </c>
      <c r="M67" s="45"/>
    </row>
    <row r="68" spans="1:23" x14ac:dyDescent="0.2">
      <c r="A68" s="36"/>
      <c r="B68" s="494" t="s">
        <v>205</v>
      </c>
      <c r="C68" s="16"/>
      <c r="D68" s="17"/>
      <c r="E68" s="18"/>
      <c r="F68" s="17"/>
      <c r="G68" s="57" t="str">
        <f t="shared" si="1"/>
        <v/>
      </c>
      <c r="H68" s="17"/>
      <c r="I68" s="17"/>
      <c r="J68" s="583"/>
      <c r="K68" s="583"/>
      <c r="L68" s="58" t="str">
        <f t="shared" si="0"/>
        <v/>
      </c>
      <c r="M68" s="45"/>
    </row>
    <row r="69" spans="1:23" x14ac:dyDescent="0.2">
      <c r="A69" s="36"/>
      <c r="B69" s="494" t="s">
        <v>205</v>
      </c>
      <c r="C69" s="16"/>
      <c r="D69" s="17"/>
      <c r="E69" s="18"/>
      <c r="F69" s="17"/>
      <c r="G69" s="57" t="str">
        <f t="shared" si="1"/>
        <v/>
      </c>
      <c r="H69" s="17"/>
      <c r="I69" s="17"/>
      <c r="J69" s="583"/>
      <c r="K69" s="583"/>
      <c r="L69" s="58" t="str">
        <f t="shared" si="0"/>
        <v/>
      </c>
      <c r="M69" s="45"/>
    </row>
    <row r="70" spans="1:23" x14ac:dyDescent="0.2">
      <c r="A70" s="36"/>
      <c r="B70" s="494" t="s">
        <v>205</v>
      </c>
      <c r="C70" s="16"/>
      <c r="D70" s="17"/>
      <c r="E70" s="18"/>
      <c r="F70" s="17"/>
      <c r="G70" s="57" t="str">
        <f t="shared" si="1"/>
        <v/>
      </c>
      <c r="H70" s="17"/>
      <c r="I70" s="17"/>
      <c r="J70" s="19"/>
      <c r="K70" s="19"/>
      <c r="L70" s="58" t="str">
        <f t="shared" si="0"/>
        <v/>
      </c>
      <c r="M70" s="45"/>
    </row>
    <row r="71" spans="1:23" x14ac:dyDescent="0.2">
      <c r="A71" s="36"/>
      <c r="B71" s="494" t="s">
        <v>205</v>
      </c>
      <c r="C71" s="16"/>
      <c r="D71" s="17"/>
      <c r="E71" s="18"/>
      <c r="F71" s="17"/>
      <c r="G71" s="57" t="str">
        <f t="shared" si="1"/>
        <v/>
      </c>
      <c r="H71" s="17"/>
      <c r="I71" s="17"/>
      <c r="J71" s="19"/>
      <c r="K71" s="19"/>
      <c r="L71" s="58" t="str">
        <f t="shared" si="0"/>
        <v/>
      </c>
      <c r="M71" s="45"/>
    </row>
    <row r="72" spans="1:23" x14ac:dyDescent="0.2">
      <c r="A72" s="36"/>
      <c r="B72" s="494" t="s">
        <v>205</v>
      </c>
      <c r="C72" s="16"/>
      <c r="D72" s="17"/>
      <c r="E72" s="18"/>
      <c r="F72" s="17"/>
      <c r="G72" s="57" t="str">
        <f t="shared" si="1"/>
        <v/>
      </c>
      <c r="H72" s="17"/>
      <c r="I72" s="17"/>
      <c r="J72" s="19"/>
      <c r="K72" s="19"/>
      <c r="L72" s="58" t="str">
        <f t="shared" si="0"/>
        <v/>
      </c>
      <c r="M72" s="45"/>
    </row>
    <row r="73" spans="1:23" x14ac:dyDescent="0.2">
      <c r="A73" s="36"/>
      <c r="B73" s="494" t="s">
        <v>205</v>
      </c>
      <c r="C73" s="16"/>
      <c r="D73" s="17"/>
      <c r="E73" s="18"/>
      <c r="F73" s="17"/>
      <c r="G73" s="57" t="str">
        <f t="shared" si="1"/>
        <v/>
      </c>
      <c r="H73" s="17"/>
      <c r="I73" s="17"/>
      <c r="J73" s="19"/>
      <c r="K73" s="19"/>
      <c r="L73" s="58" t="str">
        <f t="shared" si="0"/>
        <v/>
      </c>
      <c r="M73" s="45"/>
    </row>
    <row r="74" spans="1:23" s="451" customFormat="1" x14ac:dyDescent="0.25">
      <c r="A74" s="447"/>
      <c r="B74" s="452"/>
      <c r="C74" s="452" t="s">
        <v>454</v>
      </c>
      <c r="D74" s="453">
        <f>SUM(D64:D73)</f>
        <v>1901</v>
      </c>
      <c r="E74" s="453"/>
      <c r="F74" s="453"/>
      <c r="G74" s="57"/>
      <c r="H74" s="453"/>
      <c r="I74" s="471">
        <f>SUM(I64:I73)</f>
        <v>0</v>
      </c>
      <c r="J74" s="471">
        <f>SUM(J64:J73)</f>
        <v>789223600</v>
      </c>
      <c r="K74" s="471">
        <f>SUM(K64:K73)</f>
        <v>0</v>
      </c>
      <c r="L74" s="471">
        <f>SUM(L64:L73)</f>
        <v>4459710.6156000001</v>
      </c>
      <c r="M74" s="449"/>
      <c r="W74" s="3"/>
    </row>
    <row r="75" spans="1:23" x14ac:dyDescent="0.2">
      <c r="A75" s="36"/>
      <c r="B75" s="494" t="s">
        <v>208</v>
      </c>
      <c r="C75" s="16"/>
      <c r="D75" s="17"/>
      <c r="E75" s="18"/>
      <c r="F75" s="17"/>
      <c r="G75" s="57" t="str">
        <f t="shared" si="1"/>
        <v/>
      </c>
      <c r="H75" s="17"/>
      <c r="I75" s="17"/>
      <c r="J75" s="583"/>
      <c r="K75" s="583"/>
      <c r="L75" s="58" t="str">
        <f t="shared" si="0"/>
        <v/>
      </c>
      <c r="M75" s="45"/>
    </row>
    <row r="76" spans="1:23" x14ac:dyDescent="0.2">
      <c r="A76" s="36"/>
      <c r="B76" s="494" t="s">
        <v>208</v>
      </c>
      <c r="C76" s="16"/>
      <c r="D76" s="17"/>
      <c r="E76" s="18"/>
      <c r="F76" s="17"/>
      <c r="G76" s="57" t="str">
        <f t="shared" si="1"/>
        <v/>
      </c>
      <c r="H76" s="17"/>
      <c r="I76" s="17"/>
      <c r="J76" s="583"/>
      <c r="K76" s="583"/>
      <c r="L76" s="58" t="str">
        <f t="shared" si="0"/>
        <v/>
      </c>
      <c r="M76" s="45"/>
    </row>
    <row r="77" spans="1:23" x14ac:dyDescent="0.2">
      <c r="A77" s="36"/>
      <c r="B77" s="494" t="s">
        <v>208</v>
      </c>
      <c r="C77" s="16"/>
      <c r="D77" s="17"/>
      <c r="E77" s="18"/>
      <c r="F77" s="17"/>
      <c r="G77" s="57" t="str">
        <f t="shared" si="1"/>
        <v/>
      </c>
      <c r="H77" s="17"/>
      <c r="I77" s="17"/>
      <c r="J77" s="583"/>
      <c r="K77" s="583"/>
      <c r="L77" s="58" t="str">
        <f t="shared" si="0"/>
        <v/>
      </c>
      <c r="M77" s="45"/>
    </row>
    <row r="78" spans="1:23" x14ac:dyDescent="0.2">
      <c r="A78" s="36"/>
      <c r="B78" s="494" t="s">
        <v>208</v>
      </c>
      <c r="C78" s="16"/>
      <c r="D78" s="17"/>
      <c r="E78" s="18"/>
      <c r="F78" s="17"/>
      <c r="G78" s="57" t="str">
        <f t="shared" si="1"/>
        <v/>
      </c>
      <c r="H78" s="17"/>
      <c r="I78" s="17"/>
      <c r="J78" s="583"/>
      <c r="K78" s="583"/>
      <c r="L78" s="58" t="str">
        <f t="shared" si="0"/>
        <v/>
      </c>
      <c r="M78" s="45"/>
    </row>
    <row r="79" spans="1:23" x14ac:dyDescent="0.2">
      <c r="A79" s="36"/>
      <c r="B79" s="494" t="s">
        <v>208</v>
      </c>
      <c r="C79" s="16"/>
      <c r="D79" s="17"/>
      <c r="E79" s="18"/>
      <c r="F79" s="17"/>
      <c r="G79" s="57" t="str">
        <f t="shared" si="1"/>
        <v/>
      </c>
      <c r="H79" s="17"/>
      <c r="I79" s="17"/>
      <c r="J79" s="583"/>
      <c r="K79" s="583"/>
      <c r="L79" s="58" t="str">
        <f t="shared" si="0"/>
        <v/>
      </c>
      <c r="M79" s="45"/>
    </row>
    <row r="80" spans="1:23" x14ac:dyDescent="0.2">
      <c r="A80" s="36"/>
      <c r="B80" s="494" t="s">
        <v>208</v>
      </c>
      <c r="C80" s="16"/>
      <c r="D80" s="17"/>
      <c r="E80" s="18"/>
      <c r="F80" s="17"/>
      <c r="G80" s="57" t="str">
        <f t="shared" si="1"/>
        <v/>
      </c>
      <c r="H80" s="17"/>
      <c r="I80" s="17"/>
      <c r="J80" s="583"/>
      <c r="K80" s="583"/>
      <c r="L80" s="58" t="str">
        <f t="shared" si="0"/>
        <v/>
      </c>
      <c r="M80" s="45"/>
    </row>
    <row r="81" spans="1:23" x14ac:dyDescent="0.2">
      <c r="A81" s="36"/>
      <c r="B81" s="494" t="s">
        <v>208</v>
      </c>
      <c r="C81" s="16"/>
      <c r="D81" s="17"/>
      <c r="E81" s="18"/>
      <c r="F81" s="17"/>
      <c r="G81" s="57" t="str">
        <f t="shared" si="1"/>
        <v/>
      </c>
      <c r="H81" s="17"/>
      <c r="I81" s="17"/>
      <c r="J81" s="19"/>
      <c r="K81" s="19"/>
      <c r="L81" s="58" t="str">
        <f t="shared" si="0"/>
        <v/>
      </c>
      <c r="M81" s="45"/>
    </row>
    <row r="82" spans="1:23" x14ac:dyDescent="0.2">
      <c r="A82" s="36"/>
      <c r="B82" s="494" t="s">
        <v>208</v>
      </c>
      <c r="C82" s="16"/>
      <c r="D82" s="17"/>
      <c r="E82" s="18"/>
      <c r="F82" s="17"/>
      <c r="G82" s="57" t="str">
        <f>IF(F82="", "",D82*F82/L82)</f>
        <v/>
      </c>
      <c r="H82" s="17"/>
      <c r="I82" s="17"/>
      <c r="J82" s="19"/>
      <c r="K82" s="19"/>
      <c r="L82" s="58" t="str">
        <f t="shared" si="0"/>
        <v/>
      </c>
      <c r="M82" s="45"/>
    </row>
    <row r="83" spans="1:23" x14ac:dyDescent="0.2">
      <c r="A83" s="36"/>
      <c r="B83" s="494" t="s">
        <v>208</v>
      </c>
      <c r="C83" s="16"/>
      <c r="D83" s="17"/>
      <c r="E83" s="18"/>
      <c r="F83" s="17"/>
      <c r="G83" s="57" t="str">
        <f>IF(F83="", "",D83*F83/L83)</f>
        <v/>
      </c>
      <c r="H83" s="17"/>
      <c r="I83" s="17"/>
      <c r="J83" s="19"/>
      <c r="K83" s="19"/>
      <c r="L83" s="58" t="str">
        <f t="shared" si="0"/>
        <v/>
      </c>
      <c r="M83" s="45"/>
    </row>
    <row r="84" spans="1:23" x14ac:dyDescent="0.2">
      <c r="A84" s="36"/>
      <c r="B84" s="494" t="s">
        <v>208</v>
      </c>
      <c r="C84" s="16"/>
      <c r="D84" s="17"/>
      <c r="E84" s="18"/>
      <c r="F84" s="17"/>
      <c r="G84" s="57" t="str">
        <f>IF(F84="", "",D84*F84/L84)</f>
        <v/>
      </c>
      <c r="H84" s="17"/>
      <c r="I84" s="17"/>
      <c r="J84" s="19"/>
      <c r="K84" s="19"/>
      <c r="L84" s="58" t="str">
        <f t="shared" si="0"/>
        <v/>
      </c>
      <c r="M84" s="45"/>
    </row>
    <row r="85" spans="1:23" s="451" customFormat="1" x14ac:dyDescent="0.25">
      <c r="A85" s="447"/>
      <c r="B85" s="452"/>
      <c r="C85" s="452" t="s">
        <v>455</v>
      </c>
      <c r="D85" s="453">
        <f>SUM(D75:D84)</f>
        <v>0</v>
      </c>
      <c r="E85" s="453"/>
      <c r="F85" s="453"/>
      <c r="G85" s="453"/>
      <c r="H85" s="453"/>
      <c r="I85" s="471">
        <f>SUM(I75:I84)</f>
        <v>0</v>
      </c>
      <c r="J85" s="471">
        <f>SUM(J75:J84)</f>
        <v>0</v>
      </c>
      <c r="K85" s="471">
        <f>SUM(K75:K84)</f>
        <v>0</v>
      </c>
      <c r="L85" s="471">
        <f>SUM(L75:L84)</f>
        <v>0</v>
      </c>
      <c r="M85" s="449"/>
      <c r="W85" s="3"/>
    </row>
    <row r="86" spans="1:23" x14ac:dyDescent="0.2">
      <c r="A86" s="36"/>
      <c r="B86" s="15"/>
      <c r="C86" s="16"/>
      <c r="D86" s="17"/>
      <c r="E86" s="18"/>
      <c r="F86" s="17"/>
      <c r="G86" s="57" t="s">
        <v>719</v>
      </c>
      <c r="H86" s="17"/>
      <c r="I86" s="17"/>
      <c r="J86" s="19"/>
      <c r="K86" s="19"/>
      <c r="L86" s="58" t="str">
        <f>IF(D86="","",IF(F86&lt;&gt;"",F86*D86+J86*(E86/100),(J86-K86)*(E86/100)+H86*I86))</f>
        <v/>
      </c>
      <c r="M86" s="45"/>
    </row>
    <row r="87" spans="1:23" x14ac:dyDescent="0.25">
      <c r="A87" s="36"/>
      <c r="B87" s="59" t="s">
        <v>210</v>
      </c>
      <c r="C87" s="60"/>
      <c r="D87" s="331">
        <f>D37+D63+D74+D85</f>
        <v>18613</v>
      </c>
      <c r="E87" s="38"/>
      <c r="F87" s="40"/>
      <c r="G87" s="40" t="s">
        <v>211</v>
      </c>
      <c r="H87" s="38"/>
      <c r="I87" s="38"/>
      <c r="J87" s="543">
        <f>J37+J63+J74+J85</f>
        <v>3411530700</v>
      </c>
      <c r="K87" s="62" t="s">
        <v>212</v>
      </c>
      <c r="L87" s="543">
        <f>L37+L63+L74+L85</f>
        <v>29426234.448675003</v>
      </c>
      <c r="M87" s="45"/>
    </row>
    <row r="88" spans="1:23" x14ac:dyDescent="0.25">
      <c r="A88" s="63"/>
      <c r="B88" s="64"/>
      <c r="C88" s="64"/>
      <c r="D88" s="65"/>
      <c r="E88" s="65"/>
      <c r="F88" s="66"/>
      <c r="G88" s="65"/>
      <c r="H88" s="65"/>
      <c r="I88" s="65"/>
      <c r="J88" s="65"/>
      <c r="K88" s="67"/>
      <c r="L88" s="68"/>
      <c r="M88" s="69"/>
    </row>
    <row r="89" spans="1:23" ht="17.399999999999999" x14ac:dyDescent="0.3">
      <c r="A89" s="30"/>
      <c r="B89" s="70"/>
      <c r="C89" s="70"/>
      <c r="D89" s="32"/>
      <c r="E89" s="32"/>
      <c r="F89" s="32"/>
      <c r="G89" s="32"/>
      <c r="H89" s="32"/>
      <c r="I89" s="32"/>
      <c r="J89" s="32"/>
      <c r="K89" s="33"/>
      <c r="L89" s="33"/>
      <c r="M89" s="71"/>
    </row>
    <row r="90" spans="1:23" ht="15.6" x14ac:dyDescent="0.3">
      <c r="A90" s="36"/>
      <c r="B90" s="768" t="str">
        <f>B2</f>
        <v>Lismore City Council</v>
      </c>
      <c r="C90" s="769"/>
      <c r="D90" s="769"/>
      <c r="E90" s="769"/>
      <c r="F90" s="770"/>
      <c r="G90" s="42"/>
      <c r="H90" s="42"/>
      <c r="I90" s="42"/>
      <c r="J90" s="38"/>
      <c r="K90" s="39"/>
      <c r="L90" s="40"/>
      <c r="M90" s="48"/>
    </row>
    <row r="91" spans="1:23" ht="22.8" x14ac:dyDescent="0.4">
      <c r="A91" s="36"/>
      <c r="B91" s="72"/>
      <c r="C91" s="775" t="s">
        <v>25</v>
      </c>
      <c r="D91" s="775"/>
      <c r="E91" s="775"/>
      <c r="F91" s="775"/>
      <c r="G91" s="775"/>
      <c r="H91" s="775"/>
      <c r="I91" s="775"/>
      <c r="J91" s="775"/>
      <c r="K91" s="775"/>
      <c r="L91" s="76"/>
      <c r="M91" s="46"/>
    </row>
    <row r="92" spans="1:23" ht="15.6" x14ac:dyDescent="0.3">
      <c r="A92" s="36"/>
      <c r="B92" s="73"/>
      <c r="C92" s="73"/>
      <c r="D92" s="74"/>
      <c r="E92" s="74"/>
      <c r="F92" s="74"/>
      <c r="G92" s="74"/>
      <c r="H92" s="74"/>
      <c r="I92" s="74"/>
      <c r="J92" s="75"/>
      <c r="K92" s="76"/>
      <c r="L92" s="76"/>
      <c r="M92" s="46"/>
    </row>
    <row r="93" spans="1:23" x14ac:dyDescent="0.25">
      <c r="A93" s="36"/>
      <c r="B93" s="47"/>
      <c r="C93" s="47"/>
      <c r="D93" s="42"/>
      <c r="E93" s="42"/>
      <c r="F93" s="42"/>
      <c r="G93" s="42"/>
      <c r="H93" s="42"/>
      <c r="I93" s="42"/>
      <c r="J93" s="38"/>
      <c r="K93" s="39"/>
      <c r="L93" s="39"/>
      <c r="M93" s="48"/>
    </row>
    <row r="94" spans="1:23" ht="39.6" x14ac:dyDescent="0.2">
      <c r="A94" s="51"/>
      <c r="B94" s="52" t="s">
        <v>188</v>
      </c>
      <c r="C94" s="54" t="s">
        <v>440</v>
      </c>
      <c r="D94" s="77" t="s">
        <v>242</v>
      </c>
      <c r="E94" s="77" t="s">
        <v>190</v>
      </c>
      <c r="F94" s="77" t="s">
        <v>23</v>
      </c>
      <c r="G94" s="77" t="s">
        <v>191</v>
      </c>
      <c r="H94" s="77" t="s">
        <v>24</v>
      </c>
      <c r="I94" s="77" t="s">
        <v>192</v>
      </c>
      <c r="J94" s="54" t="s">
        <v>193</v>
      </c>
      <c r="K94" s="55" t="s">
        <v>194</v>
      </c>
      <c r="L94" s="365" t="s">
        <v>354</v>
      </c>
      <c r="M94" s="56"/>
    </row>
    <row r="95" spans="1:23" s="173" customFormat="1" x14ac:dyDescent="0.2">
      <c r="A95" s="166"/>
      <c r="B95" s="494" t="s">
        <v>207</v>
      </c>
      <c r="C95" s="15"/>
      <c r="D95" s="17"/>
      <c r="E95" s="167"/>
      <c r="F95" s="168"/>
      <c r="G95" s="169" t="str">
        <f>IF(F95="","",D95*F95/L95)</f>
        <v/>
      </c>
      <c r="H95" s="168"/>
      <c r="I95" s="168"/>
      <c r="J95" s="170"/>
      <c r="K95" s="170"/>
      <c r="L95" s="171" t="str">
        <f>IF(D95="","",IF(F95&lt;&gt;"",F95*D95+J95*(E95/100),(J95-K95)*(E95/100)+H95*I95))</f>
        <v/>
      </c>
      <c r="M95" s="172"/>
      <c r="W95" s="3"/>
    </row>
    <row r="96" spans="1:23" s="173" customFormat="1" x14ac:dyDescent="0.2">
      <c r="A96" s="166"/>
      <c r="B96" s="494" t="s">
        <v>207</v>
      </c>
      <c r="C96" s="15"/>
      <c r="D96" s="17"/>
      <c r="E96" s="167"/>
      <c r="F96" s="168"/>
      <c r="G96" s="169" t="str">
        <f t="shared" ref="G96:G144" si="2">IF(F96="","",D96*F96/L96)</f>
        <v/>
      </c>
      <c r="H96" s="168"/>
      <c r="I96" s="168"/>
      <c r="J96" s="170"/>
      <c r="K96" s="170"/>
      <c r="L96" s="171" t="str">
        <f t="shared" ref="L96:L144" si="3">IF(D96="","",IF(F96&lt;&gt;"",F96*D96+J96*(E96/100),(J96-K96)*(E96/100)+H96*I96))</f>
        <v/>
      </c>
      <c r="M96" s="172"/>
      <c r="W96" s="3"/>
    </row>
    <row r="97" spans="1:23" s="173" customFormat="1" x14ac:dyDescent="0.2">
      <c r="A97" s="166"/>
      <c r="B97" s="494" t="s">
        <v>207</v>
      </c>
      <c r="C97" s="15"/>
      <c r="D97" s="17"/>
      <c r="E97" s="167"/>
      <c r="F97" s="168"/>
      <c r="G97" s="169" t="str">
        <f t="shared" si="2"/>
        <v/>
      </c>
      <c r="H97" s="168"/>
      <c r="I97" s="168"/>
      <c r="J97" s="170"/>
      <c r="K97" s="170"/>
      <c r="L97" s="171" t="str">
        <f t="shared" si="3"/>
        <v/>
      </c>
      <c r="M97" s="172"/>
      <c r="W97" s="3"/>
    </row>
    <row r="98" spans="1:23" s="173" customFormat="1" x14ac:dyDescent="0.2">
      <c r="A98" s="166"/>
      <c r="B98" s="494" t="s">
        <v>207</v>
      </c>
      <c r="C98" s="15"/>
      <c r="D98" s="17"/>
      <c r="E98" s="167"/>
      <c r="F98" s="168"/>
      <c r="G98" s="169" t="str">
        <f t="shared" si="2"/>
        <v/>
      </c>
      <c r="H98" s="168"/>
      <c r="I98" s="168"/>
      <c r="J98" s="170"/>
      <c r="K98" s="170"/>
      <c r="L98" s="171" t="str">
        <f t="shared" si="3"/>
        <v/>
      </c>
      <c r="M98" s="172"/>
      <c r="W98" s="3"/>
    </row>
    <row r="99" spans="1:23" s="173" customFormat="1" x14ac:dyDescent="0.2">
      <c r="A99" s="166"/>
      <c r="B99" s="494" t="s">
        <v>207</v>
      </c>
      <c r="C99" s="15"/>
      <c r="D99" s="17"/>
      <c r="E99" s="167"/>
      <c r="F99" s="168"/>
      <c r="G99" s="169" t="str">
        <f t="shared" si="2"/>
        <v/>
      </c>
      <c r="H99" s="168"/>
      <c r="I99" s="168"/>
      <c r="J99" s="170"/>
      <c r="K99" s="170"/>
      <c r="L99" s="171" t="str">
        <f t="shared" si="3"/>
        <v/>
      </c>
      <c r="M99" s="172"/>
      <c r="W99" s="3"/>
    </row>
    <row r="100" spans="1:23" s="173" customFormat="1" x14ac:dyDescent="0.2">
      <c r="A100" s="166"/>
      <c r="B100" s="494" t="s">
        <v>207</v>
      </c>
      <c r="C100" s="15"/>
      <c r="D100" s="17"/>
      <c r="E100" s="167"/>
      <c r="F100" s="168"/>
      <c r="G100" s="169" t="str">
        <f t="shared" si="2"/>
        <v/>
      </c>
      <c r="H100" s="168"/>
      <c r="I100" s="168"/>
      <c r="J100" s="170"/>
      <c r="K100" s="170"/>
      <c r="L100" s="171" t="str">
        <f t="shared" si="3"/>
        <v/>
      </c>
      <c r="M100" s="172"/>
      <c r="W100" s="3"/>
    </row>
    <row r="101" spans="1:23" s="173" customFormat="1" x14ac:dyDescent="0.2">
      <c r="A101" s="166"/>
      <c r="B101" s="494" t="s">
        <v>207</v>
      </c>
      <c r="C101" s="15"/>
      <c r="D101" s="17"/>
      <c r="E101" s="167"/>
      <c r="F101" s="168"/>
      <c r="G101" s="169" t="str">
        <f t="shared" si="2"/>
        <v/>
      </c>
      <c r="H101" s="168"/>
      <c r="I101" s="168"/>
      <c r="J101" s="170"/>
      <c r="K101" s="170"/>
      <c r="L101" s="171" t="str">
        <f t="shared" si="3"/>
        <v/>
      </c>
      <c r="M101" s="172"/>
      <c r="W101" s="3"/>
    </row>
    <row r="102" spans="1:23" s="173" customFormat="1" x14ac:dyDescent="0.2">
      <c r="A102" s="166"/>
      <c r="B102" s="494" t="s">
        <v>207</v>
      </c>
      <c r="C102" s="15"/>
      <c r="D102" s="17"/>
      <c r="E102" s="167"/>
      <c r="F102" s="168"/>
      <c r="G102" s="169" t="str">
        <f t="shared" si="2"/>
        <v/>
      </c>
      <c r="H102" s="168"/>
      <c r="I102" s="168"/>
      <c r="J102" s="170"/>
      <c r="K102" s="170"/>
      <c r="L102" s="171" t="str">
        <f t="shared" si="3"/>
        <v/>
      </c>
      <c r="M102" s="172"/>
      <c r="W102" s="3"/>
    </row>
    <row r="103" spans="1:23" s="173" customFormat="1" x14ac:dyDescent="0.2">
      <c r="A103" s="166"/>
      <c r="B103" s="494" t="s">
        <v>207</v>
      </c>
      <c r="C103" s="15"/>
      <c r="D103" s="17"/>
      <c r="E103" s="167"/>
      <c r="F103" s="168"/>
      <c r="G103" s="169" t="str">
        <f t="shared" si="2"/>
        <v/>
      </c>
      <c r="H103" s="168"/>
      <c r="I103" s="168"/>
      <c r="J103" s="170"/>
      <c r="K103" s="170"/>
      <c r="L103" s="171" t="str">
        <f t="shared" si="3"/>
        <v/>
      </c>
      <c r="M103" s="172"/>
      <c r="W103" s="3"/>
    </row>
    <row r="104" spans="1:23" s="173" customFormat="1" x14ac:dyDescent="0.2">
      <c r="A104" s="166"/>
      <c r="B104" s="494" t="s">
        <v>207</v>
      </c>
      <c r="C104" s="15"/>
      <c r="D104" s="17"/>
      <c r="E104" s="167"/>
      <c r="F104" s="168"/>
      <c r="G104" s="169" t="str">
        <f t="shared" si="2"/>
        <v/>
      </c>
      <c r="H104" s="168"/>
      <c r="I104" s="168"/>
      <c r="J104" s="170"/>
      <c r="K104" s="170"/>
      <c r="L104" s="171" t="str">
        <f t="shared" si="3"/>
        <v/>
      </c>
      <c r="M104" s="172"/>
      <c r="W104" s="3"/>
    </row>
    <row r="105" spans="1:23" s="173" customFormat="1" x14ac:dyDescent="0.2">
      <c r="A105" s="166"/>
      <c r="B105" s="494" t="s">
        <v>209</v>
      </c>
      <c r="C105" s="15"/>
      <c r="D105" s="17"/>
      <c r="E105" s="167"/>
      <c r="F105" s="168"/>
      <c r="G105" s="169" t="str">
        <f t="shared" si="2"/>
        <v/>
      </c>
      <c r="H105" s="168"/>
      <c r="I105" s="168"/>
      <c r="J105" s="170"/>
      <c r="K105" s="170"/>
      <c r="L105" s="171" t="str">
        <f t="shared" si="3"/>
        <v/>
      </c>
      <c r="M105" s="172"/>
      <c r="W105" s="3"/>
    </row>
    <row r="106" spans="1:23" s="173" customFormat="1" x14ac:dyDescent="0.2">
      <c r="A106" s="166"/>
      <c r="B106" s="494" t="s">
        <v>209</v>
      </c>
      <c r="C106" s="15"/>
      <c r="D106" s="17"/>
      <c r="E106" s="167"/>
      <c r="F106" s="168"/>
      <c r="G106" s="169" t="str">
        <f t="shared" si="2"/>
        <v/>
      </c>
      <c r="H106" s="168"/>
      <c r="I106" s="168"/>
      <c r="J106" s="170"/>
      <c r="K106" s="170"/>
      <c r="L106" s="171" t="str">
        <f t="shared" si="3"/>
        <v/>
      </c>
      <c r="M106" s="172"/>
      <c r="W106" s="3"/>
    </row>
    <row r="107" spans="1:23" s="173" customFormat="1" x14ac:dyDescent="0.2">
      <c r="A107" s="166"/>
      <c r="B107" s="494" t="s">
        <v>209</v>
      </c>
      <c r="C107" s="15"/>
      <c r="D107" s="17"/>
      <c r="E107" s="167"/>
      <c r="F107" s="168"/>
      <c r="G107" s="169" t="str">
        <f t="shared" si="2"/>
        <v/>
      </c>
      <c r="H107" s="168"/>
      <c r="I107" s="168"/>
      <c r="J107" s="170"/>
      <c r="K107" s="170"/>
      <c r="L107" s="171" t="str">
        <f t="shared" si="3"/>
        <v/>
      </c>
      <c r="M107" s="172"/>
      <c r="W107" s="3"/>
    </row>
    <row r="108" spans="1:23" s="173" customFormat="1" x14ac:dyDescent="0.2">
      <c r="A108" s="166"/>
      <c r="B108" s="494" t="s">
        <v>209</v>
      </c>
      <c r="C108" s="15"/>
      <c r="D108" s="17"/>
      <c r="E108" s="167"/>
      <c r="F108" s="168"/>
      <c r="G108" s="169" t="str">
        <f t="shared" si="2"/>
        <v/>
      </c>
      <c r="H108" s="168"/>
      <c r="I108" s="168"/>
      <c r="J108" s="170"/>
      <c r="K108" s="170"/>
      <c r="L108" s="171" t="str">
        <f t="shared" si="3"/>
        <v/>
      </c>
      <c r="M108" s="172"/>
      <c r="W108" s="3"/>
    </row>
    <row r="109" spans="1:23" s="173" customFormat="1" x14ac:dyDescent="0.2">
      <c r="A109" s="166"/>
      <c r="B109" s="494" t="s">
        <v>209</v>
      </c>
      <c r="C109" s="15"/>
      <c r="D109" s="17"/>
      <c r="E109" s="167"/>
      <c r="F109" s="168"/>
      <c r="G109" s="169" t="str">
        <f t="shared" si="2"/>
        <v/>
      </c>
      <c r="H109" s="168"/>
      <c r="I109" s="168"/>
      <c r="J109" s="170"/>
      <c r="K109" s="170"/>
      <c r="L109" s="171" t="str">
        <f t="shared" si="3"/>
        <v/>
      </c>
      <c r="M109" s="172"/>
      <c r="W109" s="3"/>
    </row>
    <row r="110" spans="1:23" s="173" customFormat="1" x14ac:dyDescent="0.2">
      <c r="A110" s="166"/>
      <c r="B110" s="494" t="s">
        <v>209</v>
      </c>
      <c r="C110" s="15"/>
      <c r="D110" s="17"/>
      <c r="E110" s="167"/>
      <c r="F110" s="168"/>
      <c r="G110" s="169" t="str">
        <f t="shared" si="2"/>
        <v/>
      </c>
      <c r="H110" s="168"/>
      <c r="I110" s="168"/>
      <c r="J110" s="170"/>
      <c r="K110" s="170"/>
      <c r="L110" s="171" t="str">
        <f t="shared" si="3"/>
        <v/>
      </c>
      <c r="M110" s="172"/>
      <c r="W110" s="3"/>
    </row>
    <row r="111" spans="1:23" s="173" customFormat="1" x14ac:dyDescent="0.2">
      <c r="A111" s="166"/>
      <c r="B111" s="494" t="s">
        <v>209</v>
      </c>
      <c r="C111" s="15"/>
      <c r="D111" s="17"/>
      <c r="E111" s="167"/>
      <c r="F111" s="168"/>
      <c r="G111" s="169" t="str">
        <f t="shared" si="2"/>
        <v/>
      </c>
      <c r="H111" s="168"/>
      <c r="I111" s="168"/>
      <c r="J111" s="170"/>
      <c r="K111" s="170"/>
      <c r="L111" s="171" t="str">
        <f t="shared" si="3"/>
        <v/>
      </c>
      <c r="M111" s="172"/>
      <c r="W111" s="3"/>
    </row>
    <row r="112" spans="1:23" s="173" customFormat="1" x14ac:dyDescent="0.2">
      <c r="A112" s="166"/>
      <c r="B112" s="494" t="s">
        <v>209</v>
      </c>
      <c r="C112" s="15"/>
      <c r="D112" s="17"/>
      <c r="E112" s="167"/>
      <c r="F112" s="168"/>
      <c r="G112" s="169" t="str">
        <f t="shared" si="2"/>
        <v/>
      </c>
      <c r="H112" s="168"/>
      <c r="I112" s="168"/>
      <c r="J112" s="170"/>
      <c r="K112" s="170"/>
      <c r="L112" s="171" t="str">
        <f t="shared" si="3"/>
        <v/>
      </c>
      <c r="M112" s="172"/>
      <c r="W112" s="3"/>
    </row>
    <row r="113" spans="1:23" s="173" customFormat="1" x14ac:dyDescent="0.2">
      <c r="A113" s="166"/>
      <c r="B113" s="494" t="s">
        <v>209</v>
      </c>
      <c r="C113" s="15"/>
      <c r="D113" s="17"/>
      <c r="E113" s="167"/>
      <c r="F113" s="168"/>
      <c r="G113" s="169" t="str">
        <f t="shared" si="2"/>
        <v/>
      </c>
      <c r="H113" s="168"/>
      <c r="I113" s="168"/>
      <c r="J113" s="170"/>
      <c r="K113" s="170"/>
      <c r="L113" s="171" t="str">
        <f t="shared" si="3"/>
        <v/>
      </c>
      <c r="M113" s="172"/>
      <c r="W113" s="3"/>
    </row>
    <row r="114" spans="1:23" s="173" customFormat="1" x14ac:dyDescent="0.2">
      <c r="A114" s="166"/>
      <c r="B114" s="494" t="s">
        <v>209</v>
      </c>
      <c r="C114" s="15"/>
      <c r="D114" s="17"/>
      <c r="E114" s="167"/>
      <c r="F114" s="168"/>
      <c r="G114" s="169" t="str">
        <f t="shared" si="2"/>
        <v/>
      </c>
      <c r="H114" s="168"/>
      <c r="I114" s="168"/>
      <c r="J114" s="170"/>
      <c r="K114" s="170"/>
      <c r="L114" s="171" t="str">
        <f t="shared" si="3"/>
        <v/>
      </c>
      <c r="M114" s="172"/>
      <c r="W114" s="3"/>
    </row>
    <row r="115" spans="1:23" s="173" customFormat="1" x14ac:dyDescent="0.2">
      <c r="A115" s="166"/>
      <c r="B115" s="494" t="s">
        <v>209</v>
      </c>
      <c r="C115" s="15"/>
      <c r="D115" s="17"/>
      <c r="E115" s="167"/>
      <c r="F115" s="168"/>
      <c r="G115" s="169" t="str">
        <f t="shared" si="2"/>
        <v/>
      </c>
      <c r="H115" s="168"/>
      <c r="I115" s="168"/>
      <c r="J115" s="170"/>
      <c r="K115" s="170"/>
      <c r="L115" s="171" t="str">
        <f t="shared" si="3"/>
        <v/>
      </c>
      <c r="M115" s="172"/>
      <c r="W115" s="3"/>
    </row>
    <row r="116" spans="1:23" s="173" customFormat="1" x14ac:dyDescent="0.2">
      <c r="A116" s="166"/>
      <c r="B116" s="494" t="s">
        <v>209</v>
      </c>
      <c r="C116" s="15"/>
      <c r="D116" s="17"/>
      <c r="E116" s="167"/>
      <c r="F116" s="168"/>
      <c r="G116" s="169" t="str">
        <f t="shared" si="2"/>
        <v/>
      </c>
      <c r="H116" s="168"/>
      <c r="I116" s="168"/>
      <c r="J116" s="170"/>
      <c r="K116" s="170"/>
      <c r="L116" s="171" t="str">
        <f t="shared" si="3"/>
        <v/>
      </c>
      <c r="M116" s="172"/>
      <c r="W116" s="3"/>
    </row>
    <row r="117" spans="1:23" s="173" customFormat="1" x14ac:dyDescent="0.2">
      <c r="A117" s="166"/>
      <c r="B117" s="494" t="s">
        <v>209</v>
      </c>
      <c r="C117" s="15"/>
      <c r="D117" s="17"/>
      <c r="E117" s="167"/>
      <c r="F117" s="168"/>
      <c r="G117" s="169" t="str">
        <f t="shared" si="2"/>
        <v/>
      </c>
      <c r="H117" s="168"/>
      <c r="I117" s="168"/>
      <c r="J117" s="170"/>
      <c r="K117" s="170"/>
      <c r="L117" s="171" t="str">
        <f t="shared" si="3"/>
        <v/>
      </c>
      <c r="M117" s="172"/>
      <c r="W117" s="3"/>
    </row>
    <row r="118" spans="1:23" s="173" customFormat="1" x14ac:dyDescent="0.2">
      <c r="A118" s="166"/>
      <c r="B118" s="494" t="s">
        <v>209</v>
      </c>
      <c r="C118" s="15"/>
      <c r="D118" s="17"/>
      <c r="E118" s="167"/>
      <c r="F118" s="168"/>
      <c r="G118" s="169" t="str">
        <f t="shared" si="2"/>
        <v/>
      </c>
      <c r="H118" s="168"/>
      <c r="I118" s="168"/>
      <c r="J118" s="170"/>
      <c r="K118" s="170"/>
      <c r="L118" s="171" t="str">
        <f t="shared" si="3"/>
        <v/>
      </c>
      <c r="M118" s="172"/>
      <c r="W118" s="3"/>
    </row>
    <row r="119" spans="1:23" s="173" customFormat="1" x14ac:dyDescent="0.2">
      <c r="A119" s="166"/>
      <c r="B119" s="494" t="s">
        <v>209</v>
      </c>
      <c r="C119" s="15"/>
      <c r="D119" s="17"/>
      <c r="E119" s="167"/>
      <c r="F119" s="168"/>
      <c r="G119" s="169" t="str">
        <f t="shared" si="2"/>
        <v/>
      </c>
      <c r="H119" s="168"/>
      <c r="I119" s="168"/>
      <c r="J119" s="170"/>
      <c r="K119" s="170"/>
      <c r="L119" s="171" t="str">
        <f t="shared" si="3"/>
        <v/>
      </c>
      <c r="M119" s="172"/>
      <c r="W119" s="3"/>
    </row>
    <row r="120" spans="1:23" s="173" customFormat="1" x14ac:dyDescent="0.2">
      <c r="A120" s="166"/>
      <c r="B120" s="494" t="s">
        <v>209</v>
      </c>
      <c r="C120" s="15"/>
      <c r="D120" s="17"/>
      <c r="E120" s="167"/>
      <c r="F120" s="168"/>
      <c r="G120" s="169" t="str">
        <f t="shared" si="2"/>
        <v/>
      </c>
      <c r="H120" s="168"/>
      <c r="I120" s="168"/>
      <c r="J120" s="170"/>
      <c r="K120" s="170"/>
      <c r="L120" s="171" t="str">
        <f t="shared" si="3"/>
        <v/>
      </c>
      <c r="M120" s="172"/>
      <c r="W120" s="3"/>
    </row>
    <row r="121" spans="1:23" s="173" customFormat="1" x14ac:dyDescent="0.2">
      <c r="A121" s="166"/>
      <c r="B121" s="494" t="s">
        <v>209</v>
      </c>
      <c r="C121" s="15"/>
      <c r="D121" s="17"/>
      <c r="E121" s="167"/>
      <c r="F121" s="168"/>
      <c r="G121" s="169" t="str">
        <f t="shared" si="2"/>
        <v/>
      </c>
      <c r="H121" s="168"/>
      <c r="I121" s="168"/>
      <c r="J121" s="170"/>
      <c r="K121" s="170"/>
      <c r="L121" s="171" t="str">
        <f t="shared" si="3"/>
        <v/>
      </c>
      <c r="M121" s="172"/>
      <c r="W121" s="3"/>
    </row>
    <row r="122" spans="1:23" s="173" customFormat="1" x14ac:dyDescent="0.2">
      <c r="A122" s="166"/>
      <c r="B122" s="494" t="s">
        <v>209</v>
      </c>
      <c r="C122" s="15"/>
      <c r="D122" s="17"/>
      <c r="E122" s="167"/>
      <c r="F122" s="168"/>
      <c r="G122" s="169" t="str">
        <f t="shared" si="2"/>
        <v/>
      </c>
      <c r="H122" s="168"/>
      <c r="I122" s="168"/>
      <c r="J122" s="170"/>
      <c r="K122" s="170"/>
      <c r="L122" s="171" t="str">
        <f t="shared" si="3"/>
        <v/>
      </c>
      <c r="M122" s="172"/>
      <c r="W122" s="3"/>
    </row>
    <row r="123" spans="1:23" s="173" customFormat="1" x14ac:dyDescent="0.2">
      <c r="A123" s="166"/>
      <c r="B123" s="494" t="s">
        <v>209</v>
      </c>
      <c r="C123" s="15"/>
      <c r="D123" s="17"/>
      <c r="E123" s="167"/>
      <c r="F123" s="168"/>
      <c r="G123" s="169" t="str">
        <f t="shared" si="2"/>
        <v/>
      </c>
      <c r="H123" s="168"/>
      <c r="I123" s="168"/>
      <c r="J123" s="170"/>
      <c r="K123" s="170"/>
      <c r="L123" s="171" t="str">
        <f t="shared" si="3"/>
        <v/>
      </c>
      <c r="M123" s="172"/>
      <c r="W123" s="3"/>
    </row>
    <row r="124" spans="1:23" s="173" customFormat="1" x14ac:dyDescent="0.2">
      <c r="A124" s="166"/>
      <c r="B124" s="494" t="s">
        <v>209</v>
      </c>
      <c r="C124" s="15"/>
      <c r="D124" s="17"/>
      <c r="E124" s="167"/>
      <c r="F124" s="168"/>
      <c r="G124" s="169" t="str">
        <f t="shared" si="2"/>
        <v/>
      </c>
      <c r="H124" s="168"/>
      <c r="I124" s="168"/>
      <c r="J124" s="170"/>
      <c r="K124" s="170"/>
      <c r="L124" s="171" t="str">
        <f t="shared" si="3"/>
        <v/>
      </c>
      <c r="M124" s="172"/>
      <c r="W124" s="3"/>
    </row>
    <row r="125" spans="1:23" s="173" customFormat="1" x14ac:dyDescent="0.2">
      <c r="A125" s="166"/>
      <c r="B125" s="494" t="s">
        <v>205</v>
      </c>
      <c r="C125" s="15"/>
      <c r="D125" s="17"/>
      <c r="E125" s="167"/>
      <c r="F125" s="168"/>
      <c r="G125" s="169" t="str">
        <f t="shared" si="2"/>
        <v/>
      </c>
      <c r="H125" s="168"/>
      <c r="I125" s="168"/>
      <c r="J125" s="170"/>
      <c r="K125" s="170"/>
      <c r="L125" s="171" t="str">
        <f t="shared" si="3"/>
        <v/>
      </c>
      <c r="M125" s="172"/>
      <c r="W125" s="3"/>
    </row>
    <row r="126" spans="1:23" s="173" customFormat="1" x14ac:dyDescent="0.2">
      <c r="A126" s="166"/>
      <c r="B126" s="494" t="s">
        <v>205</v>
      </c>
      <c r="C126" s="15"/>
      <c r="D126" s="17"/>
      <c r="E126" s="167"/>
      <c r="F126" s="168"/>
      <c r="G126" s="169" t="str">
        <f t="shared" si="2"/>
        <v/>
      </c>
      <c r="H126" s="168"/>
      <c r="I126" s="168"/>
      <c r="J126" s="170"/>
      <c r="K126" s="170"/>
      <c r="L126" s="171" t="str">
        <f t="shared" si="3"/>
        <v/>
      </c>
      <c r="M126" s="172"/>
      <c r="W126" s="3"/>
    </row>
    <row r="127" spans="1:23" s="173" customFormat="1" x14ac:dyDescent="0.2">
      <c r="A127" s="166"/>
      <c r="B127" s="494" t="s">
        <v>205</v>
      </c>
      <c r="C127" s="15"/>
      <c r="D127" s="17"/>
      <c r="E127" s="167"/>
      <c r="F127" s="168"/>
      <c r="G127" s="169" t="str">
        <f t="shared" si="2"/>
        <v/>
      </c>
      <c r="H127" s="168"/>
      <c r="I127" s="168"/>
      <c r="J127" s="170"/>
      <c r="K127" s="170"/>
      <c r="L127" s="171" t="str">
        <f t="shared" si="3"/>
        <v/>
      </c>
      <c r="M127" s="172"/>
      <c r="W127" s="3"/>
    </row>
    <row r="128" spans="1:23" s="173" customFormat="1" x14ac:dyDescent="0.25">
      <c r="A128" s="166"/>
      <c r="B128" s="494" t="s">
        <v>205</v>
      </c>
      <c r="C128" s="357"/>
      <c r="D128" s="17"/>
      <c r="E128" s="167"/>
      <c r="F128" s="168"/>
      <c r="G128" s="169" t="str">
        <f t="shared" si="2"/>
        <v/>
      </c>
      <c r="H128" s="168"/>
      <c r="I128" s="168"/>
      <c r="J128" s="170"/>
      <c r="K128" s="170"/>
      <c r="L128" s="171" t="str">
        <f t="shared" si="3"/>
        <v/>
      </c>
      <c r="M128" s="172"/>
      <c r="W128" s="3"/>
    </row>
    <row r="129" spans="1:23" s="173" customFormat="1" x14ac:dyDescent="0.25">
      <c r="A129" s="166"/>
      <c r="B129" s="494" t="s">
        <v>205</v>
      </c>
      <c r="C129" s="357"/>
      <c r="D129" s="17"/>
      <c r="E129" s="167"/>
      <c r="F129" s="168"/>
      <c r="G129" s="169" t="str">
        <f t="shared" si="2"/>
        <v/>
      </c>
      <c r="H129" s="168"/>
      <c r="I129" s="168"/>
      <c r="J129" s="170"/>
      <c r="K129" s="170"/>
      <c r="L129" s="171" t="str">
        <f t="shared" si="3"/>
        <v/>
      </c>
      <c r="M129" s="172"/>
      <c r="W129" s="3"/>
    </row>
    <row r="130" spans="1:23" s="173" customFormat="1" x14ac:dyDescent="0.25">
      <c r="A130" s="166"/>
      <c r="B130" s="494" t="s">
        <v>205</v>
      </c>
      <c r="C130" s="357"/>
      <c r="D130" s="17"/>
      <c r="E130" s="167"/>
      <c r="F130" s="168"/>
      <c r="G130" s="169" t="str">
        <f t="shared" si="2"/>
        <v/>
      </c>
      <c r="H130" s="168"/>
      <c r="I130" s="168"/>
      <c r="J130" s="170"/>
      <c r="K130" s="170"/>
      <c r="L130" s="171" t="str">
        <f t="shared" si="3"/>
        <v/>
      </c>
      <c r="M130" s="172"/>
      <c r="W130" s="3"/>
    </row>
    <row r="131" spans="1:23" s="173" customFormat="1" x14ac:dyDescent="0.25">
      <c r="A131" s="166"/>
      <c r="B131" s="494" t="s">
        <v>205</v>
      </c>
      <c r="C131" s="357"/>
      <c r="D131" s="17"/>
      <c r="E131" s="167"/>
      <c r="F131" s="168"/>
      <c r="G131" s="169" t="str">
        <f t="shared" si="2"/>
        <v/>
      </c>
      <c r="H131" s="168"/>
      <c r="I131" s="168"/>
      <c r="J131" s="170"/>
      <c r="K131" s="170"/>
      <c r="L131" s="171" t="str">
        <f t="shared" si="3"/>
        <v/>
      </c>
      <c r="M131" s="172"/>
      <c r="W131" s="3"/>
    </row>
    <row r="132" spans="1:23" s="173" customFormat="1" x14ac:dyDescent="0.25">
      <c r="A132" s="166"/>
      <c r="B132" s="494" t="s">
        <v>205</v>
      </c>
      <c r="C132" s="357"/>
      <c r="D132" s="17"/>
      <c r="E132" s="167"/>
      <c r="F132" s="168"/>
      <c r="G132" s="169" t="str">
        <f t="shared" si="2"/>
        <v/>
      </c>
      <c r="H132" s="168"/>
      <c r="I132" s="168"/>
      <c r="J132" s="170"/>
      <c r="K132" s="170"/>
      <c r="L132" s="171" t="str">
        <f t="shared" si="3"/>
        <v/>
      </c>
      <c r="M132" s="172"/>
      <c r="W132" s="3"/>
    </row>
    <row r="133" spans="1:23" s="173" customFormat="1" x14ac:dyDescent="0.25">
      <c r="A133" s="166"/>
      <c r="B133" s="494" t="s">
        <v>205</v>
      </c>
      <c r="C133" s="357"/>
      <c r="D133" s="17"/>
      <c r="E133" s="167"/>
      <c r="F133" s="168"/>
      <c r="G133" s="169" t="str">
        <f t="shared" si="2"/>
        <v/>
      </c>
      <c r="H133" s="168"/>
      <c r="I133" s="168"/>
      <c r="J133" s="170"/>
      <c r="K133" s="170"/>
      <c r="L133" s="171" t="str">
        <f t="shared" si="3"/>
        <v/>
      </c>
      <c r="M133" s="172"/>
      <c r="W133" s="3"/>
    </row>
    <row r="134" spans="1:23" s="173" customFormat="1" x14ac:dyDescent="0.25">
      <c r="A134" s="166"/>
      <c r="B134" s="494" t="s">
        <v>205</v>
      </c>
      <c r="C134" s="357"/>
      <c r="D134" s="17"/>
      <c r="E134" s="167"/>
      <c r="F134" s="168"/>
      <c r="G134" s="169" t="str">
        <f t="shared" si="2"/>
        <v/>
      </c>
      <c r="H134" s="168"/>
      <c r="I134" s="168"/>
      <c r="J134" s="170"/>
      <c r="K134" s="170"/>
      <c r="L134" s="171" t="str">
        <f t="shared" si="3"/>
        <v/>
      </c>
      <c r="M134" s="172"/>
      <c r="W134" s="3"/>
    </row>
    <row r="135" spans="1:23" s="173" customFormat="1" x14ac:dyDescent="0.25">
      <c r="A135" s="166"/>
      <c r="B135" s="494" t="s">
        <v>208</v>
      </c>
      <c r="C135" s="357"/>
      <c r="D135" s="17"/>
      <c r="E135" s="167"/>
      <c r="F135" s="168"/>
      <c r="G135" s="169" t="str">
        <f t="shared" si="2"/>
        <v/>
      </c>
      <c r="H135" s="168"/>
      <c r="I135" s="168"/>
      <c r="J135" s="170"/>
      <c r="K135" s="170"/>
      <c r="L135" s="171" t="str">
        <f t="shared" si="3"/>
        <v/>
      </c>
      <c r="M135" s="172"/>
      <c r="W135" s="3"/>
    </row>
    <row r="136" spans="1:23" s="173" customFormat="1" x14ac:dyDescent="0.25">
      <c r="A136" s="166"/>
      <c r="B136" s="494" t="s">
        <v>208</v>
      </c>
      <c r="C136" s="357"/>
      <c r="D136" s="17"/>
      <c r="E136" s="167"/>
      <c r="F136" s="168"/>
      <c r="G136" s="169" t="str">
        <f t="shared" si="2"/>
        <v/>
      </c>
      <c r="H136" s="168"/>
      <c r="I136" s="168"/>
      <c r="J136" s="170"/>
      <c r="K136" s="170"/>
      <c r="L136" s="171" t="str">
        <f t="shared" si="3"/>
        <v/>
      </c>
      <c r="M136" s="172"/>
      <c r="W136" s="3"/>
    </row>
    <row r="137" spans="1:23" s="173" customFormat="1" x14ac:dyDescent="0.25">
      <c r="A137" s="166"/>
      <c r="B137" s="494" t="s">
        <v>208</v>
      </c>
      <c r="C137" s="357"/>
      <c r="D137" s="17"/>
      <c r="E137" s="167"/>
      <c r="F137" s="168"/>
      <c r="G137" s="169" t="str">
        <f t="shared" si="2"/>
        <v/>
      </c>
      <c r="H137" s="168"/>
      <c r="I137" s="168"/>
      <c r="J137" s="170"/>
      <c r="K137" s="170"/>
      <c r="L137" s="171" t="str">
        <f t="shared" si="3"/>
        <v/>
      </c>
      <c r="M137" s="172"/>
      <c r="W137" s="3"/>
    </row>
    <row r="138" spans="1:23" s="173" customFormat="1" x14ac:dyDescent="0.25">
      <c r="A138" s="166"/>
      <c r="B138" s="494" t="s">
        <v>208</v>
      </c>
      <c r="C138" s="357"/>
      <c r="D138" s="17"/>
      <c r="E138" s="167"/>
      <c r="F138" s="168"/>
      <c r="G138" s="169" t="str">
        <f t="shared" si="2"/>
        <v/>
      </c>
      <c r="H138" s="168"/>
      <c r="I138" s="168"/>
      <c r="J138" s="170"/>
      <c r="K138" s="170"/>
      <c r="L138" s="171" t="str">
        <f t="shared" si="3"/>
        <v/>
      </c>
      <c r="M138" s="172"/>
      <c r="W138" s="3"/>
    </row>
    <row r="139" spans="1:23" s="173" customFormat="1" x14ac:dyDescent="0.25">
      <c r="A139" s="166"/>
      <c r="B139" s="494" t="s">
        <v>208</v>
      </c>
      <c r="C139" s="357"/>
      <c r="D139" s="17"/>
      <c r="E139" s="167"/>
      <c r="F139" s="168"/>
      <c r="G139" s="169" t="str">
        <f t="shared" si="2"/>
        <v/>
      </c>
      <c r="H139" s="168"/>
      <c r="I139" s="168"/>
      <c r="J139" s="170"/>
      <c r="K139" s="170"/>
      <c r="L139" s="171" t="str">
        <f t="shared" si="3"/>
        <v/>
      </c>
      <c r="M139" s="172"/>
      <c r="W139" s="3"/>
    </row>
    <row r="140" spans="1:23" s="173" customFormat="1" x14ac:dyDescent="0.25">
      <c r="A140" s="166"/>
      <c r="B140" s="494" t="s">
        <v>208</v>
      </c>
      <c r="C140" s="357"/>
      <c r="D140" s="17"/>
      <c r="E140" s="167"/>
      <c r="F140" s="168"/>
      <c r="G140" s="169" t="str">
        <f t="shared" si="2"/>
        <v/>
      </c>
      <c r="H140" s="168"/>
      <c r="I140" s="168"/>
      <c r="J140" s="170"/>
      <c r="K140" s="170"/>
      <c r="L140" s="171" t="str">
        <f t="shared" si="3"/>
        <v/>
      </c>
      <c r="M140" s="172"/>
      <c r="W140" s="3"/>
    </row>
    <row r="141" spans="1:23" s="173" customFormat="1" x14ac:dyDescent="0.25">
      <c r="A141" s="166"/>
      <c r="B141" s="494" t="s">
        <v>208</v>
      </c>
      <c r="C141" s="357"/>
      <c r="D141" s="17"/>
      <c r="E141" s="167"/>
      <c r="F141" s="168"/>
      <c r="G141" s="169" t="str">
        <f t="shared" si="2"/>
        <v/>
      </c>
      <c r="H141" s="168"/>
      <c r="I141" s="168"/>
      <c r="J141" s="170"/>
      <c r="K141" s="170"/>
      <c r="L141" s="171" t="str">
        <f t="shared" si="3"/>
        <v/>
      </c>
      <c r="M141" s="172"/>
      <c r="W141" s="3"/>
    </row>
    <row r="142" spans="1:23" s="173" customFormat="1" x14ac:dyDescent="0.25">
      <c r="A142" s="166"/>
      <c r="B142" s="494" t="s">
        <v>208</v>
      </c>
      <c r="C142" s="357"/>
      <c r="D142" s="17"/>
      <c r="E142" s="167"/>
      <c r="F142" s="168"/>
      <c r="G142" s="169" t="str">
        <f t="shared" si="2"/>
        <v/>
      </c>
      <c r="H142" s="168"/>
      <c r="I142" s="168"/>
      <c r="J142" s="170"/>
      <c r="K142" s="170"/>
      <c r="L142" s="171" t="str">
        <f t="shared" si="3"/>
        <v/>
      </c>
      <c r="M142" s="172"/>
      <c r="W142" s="3"/>
    </row>
    <row r="143" spans="1:23" s="173" customFormat="1" x14ac:dyDescent="0.25">
      <c r="A143" s="166"/>
      <c r="B143" s="494" t="s">
        <v>208</v>
      </c>
      <c r="C143" s="357"/>
      <c r="D143" s="17"/>
      <c r="E143" s="167"/>
      <c r="F143" s="168"/>
      <c r="G143" s="169" t="str">
        <f t="shared" si="2"/>
        <v/>
      </c>
      <c r="H143" s="168"/>
      <c r="I143" s="168"/>
      <c r="J143" s="170"/>
      <c r="K143" s="170"/>
      <c r="L143" s="171" t="str">
        <f t="shared" si="3"/>
        <v/>
      </c>
      <c r="M143" s="172"/>
      <c r="W143" s="3"/>
    </row>
    <row r="144" spans="1:23" s="173" customFormat="1" x14ac:dyDescent="0.25">
      <c r="A144" s="166"/>
      <c r="B144" s="494" t="s">
        <v>208</v>
      </c>
      <c r="C144" s="357"/>
      <c r="D144" s="17"/>
      <c r="E144" s="357"/>
      <c r="F144" s="168"/>
      <c r="G144" s="169" t="str">
        <f t="shared" si="2"/>
        <v/>
      </c>
      <c r="H144" s="168"/>
      <c r="I144" s="357"/>
      <c r="J144" s="170"/>
      <c r="K144" s="357"/>
      <c r="L144" s="171" t="str">
        <f t="shared" si="3"/>
        <v/>
      </c>
      <c r="M144" s="172"/>
      <c r="W144" s="3"/>
    </row>
    <row r="145" spans="1:13" x14ac:dyDescent="0.25">
      <c r="A145" s="36"/>
      <c r="B145" s="38"/>
      <c r="C145" s="38"/>
      <c r="D145" s="38"/>
      <c r="E145" s="38"/>
      <c r="F145" s="40"/>
      <c r="G145" s="38"/>
      <c r="H145" s="38"/>
      <c r="I145" s="38"/>
      <c r="J145" s="78"/>
      <c r="K145" s="62" t="s">
        <v>212</v>
      </c>
      <c r="L145" s="61">
        <f>SUM(L95:L144)</f>
        <v>0</v>
      </c>
      <c r="M145" s="45"/>
    </row>
    <row r="146" spans="1:13" x14ac:dyDescent="0.25">
      <c r="A146" s="63"/>
      <c r="B146" s="64"/>
      <c r="C146" s="64"/>
      <c r="D146" s="65"/>
      <c r="E146" s="65"/>
      <c r="F146" s="66"/>
      <c r="G146" s="65"/>
      <c r="H146" s="65"/>
      <c r="I146" s="65"/>
      <c r="J146" s="65"/>
      <c r="K146" s="67"/>
      <c r="L146" s="68"/>
      <c r="M146" s="69"/>
    </row>
    <row r="147" spans="1:13" ht="17.399999999999999" x14ac:dyDescent="0.3">
      <c r="A147" s="30"/>
      <c r="B147" s="70"/>
      <c r="C147" s="70"/>
      <c r="D147" s="32"/>
      <c r="E147" s="32"/>
      <c r="F147" s="32"/>
      <c r="G147" s="32"/>
      <c r="H147" s="32"/>
      <c r="I147" s="32"/>
      <c r="J147" s="32"/>
      <c r="K147" s="33"/>
      <c r="L147" s="33"/>
      <c r="M147" s="71"/>
    </row>
    <row r="148" spans="1:13" ht="15.6" x14ac:dyDescent="0.3">
      <c r="A148" s="36"/>
      <c r="B148" s="768" t="str">
        <f>B2</f>
        <v>Lismore City Council</v>
      </c>
      <c r="C148" s="769"/>
      <c r="D148" s="769"/>
      <c r="E148" s="769"/>
      <c r="F148" s="770"/>
      <c r="G148" s="42"/>
      <c r="H148" s="42"/>
      <c r="I148" s="42"/>
      <c r="J148" s="38"/>
      <c r="K148" s="39"/>
      <c r="L148" s="40"/>
      <c r="M148" s="48"/>
    </row>
    <row r="149" spans="1:13" ht="22.8" x14ac:dyDescent="0.4">
      <c r="A149" s="36"/>
      <c r="B149" s="72"/>
      <c r="C149" s="775" t="s">
        <v>26</v>
      </c>
      <c r="D149" s="775"/>
      <c r="E149" s="775"/>
      <c r="F149" s="775"/>
      <c r="G149" s="775"/>
      <c r="H149" s="775"/>
      <c r="I149" s="775"/>
      <c r="J149" s="775"/>
      <c r="K149" s="775"/>
      <c r="L149" s="76"/>
      <c r="M149" s="46"/>
    </row>
    <row r="150" spans="1:13" ht="15.6" x14ac:dyDescent="0.3">
      <c r="A150" s="36"/>
      <c r="B150" s="73"/>
      <c r="C150" s="73"/>
      <c r="D150" s="74"/>
      <c r="E150" s="74"/>
      <c r="F150" s="74"/>
      <c r="G150" s="74"/>
      <c r="H150" s="74"/>
      <c r="I150" s="74"/>
      <c r="J150" s="75"/>
      <c r="K150" s="76"/>
      <c r="L150" s="76"/>
      <c r="M150" s="46"/>
    </row>
    <row r="151" spans="1:13" x14ac:dyDescent="0.25">
      <c r="A151" s="36"/>
      <c r="B151" s="47"/>
      <c r="C151" s="47"/>
      <c r="D151" s="42"/>
      <c r="E151" s="42"/>
      <c r="F151" s="42"/>
      <c r="G151" s="42"/>
      <c r="H151" s="42"/>
      <c r="I151" s="42"/>
      <c r="J151" s="38"/>
      <c r="K151" s="39"/>
      <c r="L151" s="39"/>
      <c r="M151" s="48"/>
    </row>
    <row r="152" spans="1:13" ht="39.6" x14ac:dyDescent="0.2">
      <c r="A152" s="51"/>
      <c r="B152" s="776" t="s">
        <v>27</v>
      </c>
      <c r="C152" s="777"/>
      <c r="D152" s="777"/>
      <c r="E152" s="777"/>
      <c r="F152" s="777"/>
      <c r="G152" s="777"/>
      <c r="H152" s="777"/>
      <c r="I152" s="778"/>
      <c r="J152" s="554" t="s">
        <v>624</v>
      </c>
      <c r="K152" s="77" t="s">
        <v>28</v>
      </c>
      <c r="L152" s="365" t="s">
        <v>354</v>
      </c>
      <c r="M152" s="45"/>
    </row>
    <row r="153" spans="1:13" x14ac:dyDescent="0.25">
      <c r="A153" s="36"/>
      <c r="B153" s="765"/>
      <c r="C153" s="766"/>
      <c r="D153" s="766"/>
      <c r="E153" s="766"/>
      <c r="F153" s="766"/>
      <c r="G153" s="766"/>
      <c r="H153" s="766"/>
      <c r="I153" s="767"/>
      <c r="J153" s="20"/>
      <c r="K153" s="20"/>
      <c r="L153" s="79" t="str">
        <f t="shared" ref="L153:L160" si="4">IF(B153="","",J153*K153)</f>
        <v/>
      </c>
      <c r="M153" s="45"/>
    </row>
    <row r="154" spans="1:13" x14ac:dyDescent="0.25">
      <c r="A154" s="36"/>
      <c r="B154" s="765"/>
      <c r="C154" s="766"/>
      <c r="D154" s="766"/>
      <c r="E154" s="766"/>
      <c r="F154" s="766"/>
      <c r="G154" s="766"/>
      <c r="H154" s="766"/>
      <c r="I154" s="767"/>
      <c r="J154" s="20"/>
      <c r="K154" s="20"/>
      <c r="L154" s="79" t="str">
        <f t="shared" si="4"/>
        <v/>
      </c>
      <c r="M154" s="45"/>
    </row>
    <row r="155" spans="1:13" x14ac:dyDescent="0.25">
      <c r="A155" s="36"/>
      <c r="B155" s="765"/>
      <c r="C155" s="766"/>
      <c r="D155" s="766"/>
      <c r="E155" s="766"/>
      <c r="F155" s="766"/>
      <c r="G155" s="766"/>
      <c r="H155" s="766"/>
      <c r="I155" s="767"/>
      <c r="J155" s="20"/>
      <c r="K155" s="20"/>
      <c r="L155" s="79" t="str">
        <f t="shared" si="4"/>
        <v/>
      </c>
      <c r="M155" s="45"/>
    </row>
    <row r="156" spans="1:13" x14ac:dyDescent="0.25">
      <c r="A156" s="36"/>
      <c r="B156" s="765"/>
      <c r="C156" s="766"/>
      <c r="D156" s="766"/>
      <c r="E156" s="766"/>
      <c r="F156" s="766"/>
      <c r="G156" s="766"/>
      <c r="H156" s="766"/>
      <c r="I156" s="767"/>
      <c r="J156" s="20"/>
      <c r="K156" s="20"/>
      <c r="L156" s="79" t="str">
        <f t="shared" si="4"/>
        <v/>
      </c>
      <c r="M156" s="45"/>
    </row>
    <row r="157" spans="1:13" x14ac:dyDescent="0.25">
      <c r="A157" s="36"/>
      <c r="B157" s="765"/>
      <c r="C157" s="766"/>
      <c r="D157" s="766"/>
      <c r="E157" s="766"/>
      <c r="F157" s="766"/>
      <c r="G157" s="766"/>
      <c r="H157" s="766"/>
      <c r="I157" s="767"/>
      <c r="J157" s="20"/>
      <c r="K157" s="20"/>
      <c r="L157" s="79" t="str">
        <f t="shared" si="4"/>
        <v/>
      </c>
      <c r="M157" s="45"/>
    </row>
    <row r="158" spans="1:13" x14ac:dyDescent="0.25">
      <c r="A158" s="36"/>
      <c r="B158" s="765"/>
      <c r="C158" s="766"/>
      <c r="D158" s="766"/>
      <c r="E158" s="766"/>
      <c r="F158" s="766"/>
      <c r="G158" s="766"/>
      <c r="H158" s="766"/>
      <c r="I158" s="767"/>
      <c r="J158" s="20"/>
      <c r="K158" s="20"/>
      <c r="L158" s="79" t="str">
        <f t="shared" si="4"/>
        <v/>
      </c>
      <c r="M158" s="45"/>
    </row>
    <row r="159" spans="1:13" x14ac:dyDescent="0.25">
      <c r="A159" s="36"/>
      <c r="B159" s="765"/>
      <c r="C159" s="766"/>
      <c r="D159" s="766"/>
      <c r="E159" s="766"/>
      <c r="F159" s="766"/>
      <c r="G159" s="766"/>
      <c r="H159" s="766"/>
      <c r="I159" s="767"/>
      <c r="J159" s="20"/>
      <c r="K159" s="20"/>
      <c r="L159" s="79" t="str">
        <f t="shared" si="4"/>
        <v/>
      </c>
      <c r="M159" s="45"/>
    </row>
    <row r="160" spans="1:13" x14ac:dyDescent="0.25">
      <c r="A160" s="36"/>
      <c r="B160" s="765"/>
      <c r="C160" s="766"/>
      <c r="D160" s="766"/>
      <c r="E160" s="766"/>
      <c r="F160" s="766"/>
      <c r="G160" s="766"/>
      <c r="H160" s="766"/>
      <c r="I160" s="767"/>
      <c r="J160" s="20"/>
      <c r="K160" s="20"/>
      <c r="L160" s="79" t="str">
        <f t="shared" si="4"/>
        <v/>
      </c>
      <c r="M160" s="45"/>
    </row>
    <row r="161" spans="1:13" x14ac:dyDescent="0.25">
      <c r="A161" s="36"/>
      <c r="B161" s="60"/>
      <c r="C161" s="60"/>
      <c r="D161" s="38"/>
      <c r="E161" s="38"/>
      <c r="F161" s="40"/>
      <c r="G161" s="38"/>
      <c r="H161" s="38"/>
      <c r="I161" s="38"/>
      <c r="J161" s="62"/>
      <c r="K161" s="62" t="s">
        <v>212</v>
      </c>
      <c r="L161" s="61">
        <f>SUM(L153:L160)</f>
        <v>0</v>
      </c>
      <c r="M161" s="45"/>
    </row>
    <row r="162" spans="1:13" x14ac:dyDescent="0.25">
      <c r="A162" s="36"/>
      <c r="B162" s="60"/>
      <c r="C162" s="60"/>
      <c r="D162" s="38"/>
      <c r="E162" s="38"/>
      <c r="F162" s="40"/>
      <c r="G162" s="38"/>
      <c r="H162" s="38"/>
      <c r="I162" s="38"/>
      <c r="J162" s="38"/>
      <c r="K162" s="78"/>
      <c r="L162" s="62"/>
      <c r="M162" s="84"/>
    </row>
    <row r="163" spans="1:13" x14ac:dyDescent="0.25">
      <c r="A163" s="36"/>
      <c r="B163" s="38"/>
      <c r="C163" s="38"/>
      <c r="D163" s="38"/>
      <c r="E163" s="38"/>
      <c r="F163" s="40"/>
      <c r="G163" s="38"/>
      <c r="H163" s="38"/>
      <c r="I163" s="38"/>
      <c r="J163" s="38"/>
      <c r="K163" s="78"/>
      <c r="L163" s="62"/>
      <c r="M163" s="84"/>
    </row>
    <row r="164" spans="1:13" x14ac:dyDescent="0.25">
      <c r="A164" s="36"/>
      <c r="B164" s="38"/>
      <c r="C164" s="38"/>
      <c r="D164" s="38"/>
      <c r="E164" s="38"/>
      <c r="F164" s="59"/>
      <c r="G164" s="59" t="s">
        <v>29</v>
      </c>
      <c r="H164" s="40"/>
      <c r="I164" s="38"/>
      <c r="J164" s="78"/>
      <c r="K164" s="763">
        <f>S2_Ordinary_Rates_Sub_Total+S2_Special_Rates_Sub_Total+S2_Annual_Charges_Sub_Total</f>
        <v>29426234.448675003</v>
      </c>
      <c r="L164" s="764"/>
      <c r="M164" s="45"/>
    </row>
    <row r="165" spans="1:13" x14ac:dyDescent="0.25">
      <c r="A165" s="36"/>
      <c r="B165" s="60"/>
      <c r="C165" s="60"/>
      <c r="D165" s="38"/>
      <c r="E165" s="38"/>
      <c r="F165" s="40"/>
      <c r="G165" s="38"/>
      <c r="H165" s="38"/>
      <c r="I165" s="38"/>
      <c r="J165" s="38"/>
      <c r="K165" s="78"/>
      <c r="L165" s="62"/>
      <c r="M165" s="84"/>
    </row>
    <row r="166" spans="1:13" x14ac:dyDescent="0.25">
      <c r="A166" s="36"/>
      <c r="B166" s="59" t="s">
        <v>213</v>
      </c>
      <c r="C166" s="59"/>
      <c r="D166" s="38"/>
      <c r="E166" s="38"/>
      <c r="F166" s="40"/>
      <c r="G166" s="38"/>
      <c r="H166" s="38"/>
      <c r="I166" s="38"/>
      <c r="J166" s="38"/>
      <c r="K166" s="78"/>
      <c r="L166" s="62"/>
      <c r="M166" s="84"/>
    </row>
    <row r="167" spans="1:13" x14ac:dyDescent="0.25">
      <c r="A167" s="63"/>
      <c r="B167" s="65"/>
      <c r="C167" s="65"/>
      <c r="D167" s="65"/>
      <c r="E167" s="65"/>
      <c r="F167" s="65"/>
      <c r="G167" s="65"/>
      <c r="H167" s="65"/>
      <c r="I167" s="65"/>
      <c r="J167" s="65"/>
      <c r="K167" s="89"/>
      <c r="L167" s="89"/>
      <c r="M167" s="87"/>
    </row>
    <row r="168" spans="1:13" x14ac:dyDescent="0.25">
      <c r="A168" s="21"/>
      <c r="B168" s="21"/>
    </row>
    <row r="169" spans="1:13" x14ac:dyDescent="0.25">
      <c r="A169" s="21"/>
      <c r="B169" s="21"/>
    </row>
    <row r="170" spans="1:13" x14ac:dyDescent="0.25">
      <c r="A170" s="21"/>
      <c r="B170" s="21"/>
    </row>
    <row r="171" spans="1:13" x14ac:dyDescent="0.25">
      <c r="A171" s="21"/>
      <c r="B171" s="21"/>
    </row>
    <row r="172" spans="1:13" x14ac:dyDescent="0.25">
      <c r="A172" s="21"/>
      <c r="B172" s="21"/>
    </row>
    <row r="173" spans="1:13" x14ac:dyDescent="0.25">
      <c r="A173" s="21"/>
      <c r="B173" s="21"/>
    </row>
  </sheetData>
  <sheetProtection password="CC77" sheet="1"/>
  <mergeCells count="22">
    <mergeCell ref="C13:K13"/>
    <mergeCell ref="C91:K91"/>
    <mergeCell ref="B154:I154"/>
    <mergeCell ref="B90:F90"/>
    <mergeCell ref="B148:F148"/>
    <mergeCell ref="C149:K149"/>
    <mergeCell ref="B152:I152"/>
    <mergeCell ref="B153:I153"/>
    <mergeCell ref="B2:F2"/>
    <mergeCell ref="B7:L7"/>
    <mergeCell ref="B11:L11"/>
    <mergeCell ref="B4:L4"/>
    <mergeCell ref="B6:L6"/>
    <mergeCell ref="B10:L10"/>
    <mergeCell ref="B9:O9"/>
    <mergeCell ref="K164:L164"/>
    <mergeCell ref="B155:I155"/>
    <mergeCell ref="B156:I156"/>
    <mergeCell ref="B157:I157"/>
    <mergeCell ref="B158:I158"/>
    <mergeCell ref="B159:I159"/>
    <mergeCell ref="B160:I160"/>
  </mergeCells>
  <phoneticPr fontId="3" type="noConversion"/>
  <dataValidations xWindow="268" yWindow="584" count="8">
    <dataValidation allowBlank="1" showErrorMessage="1" promptTitle="Note:" prompt="Do not forget to enter base date at the top of this form._x000a_" sqref="K164:L164"/>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5:F143 F17:F36 F38:F62 F64:F73 F75:F84 F86"/>
    <dataValidation allowBlank="1" showInputMessage="1" showErrorMessage="1" promptTitle="Note:" prompt="Total land value includes all rateable parcels including those parcels subject to a minimum." sqref="J95:J143 J17:J36 J38:J62 J64:J73 J75:J84 J86"/>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5:E143 E17:E36 E38:E62 E64:E73 E75:E84 E86"/>
    <dataValidation allowBlank="1" showInputMessage="1" showErrorMessage="1" promptTitle="Note:" prompt="Please enter Minimum, Ad Valorem Rate and Base Amount for this rating category/sub-category on the same row." sqref="H95:H143 H17:H36 H38:H62 H64:H73 H75:H84 H86"/>
    <dataValidation allowBlank="1" showInputMessage="1" showErrorMessage="1" promptTitle="Annual Charges" prompt="Enter in the name of the annual charge and the group of ratepayers the charge is levied on." sqref="B153:I160"/>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17:C36 C38:C62 C64:C73 C75:C84 C86">
      <formula1>NOT(ISBLANK(B17))</formula1>
    </dataValidation>
    <dataValidation type="list" allowBlank="1" showInputMessage="1" showErrorMessage="1" errorTitle="Data Entry Error" error="Please select one of the available options from the drop-down list." promptTitle="Note:" prompt="Select one of the available rating categories from the drop-down list." sqref="B86">
      <formula1>$A$169:$A$172</formula1>
    </dataValidation>
  </dataValidations>
  <printOptions horizontalCentered="1"/>
  <pageMargins left="0.74803149606299213" right="0.74803149606299213" top="0.62992125984251968" bottom="0.47244094488188981" header="0.19685039370078741" footer="0.31496062992125984"/>
  <pageSetup paperSize="9" scale="85" fitToHeight="0" orientation="landscape" r:id="rId1"/>
  <headerFooter alignWithMargins="0"/>
  <rowBreaks count="2" manualBreakCount="2">
    <brk id="88" max="16383" man="1"/>
    <brk id="1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175"/>
  <sheetViews>
    <sheetView showGridLines="0" topLeftCell="A7" zoomScale="85" zoomScaleNormal="85" workbookViewId="0"/>
  </sheetViews>
  <sheetFormatPr defaultColWidth="9.125" defaultRowHeight="13.2" x14ac:dyDescent="0.25"/>
  <cols>
    <col min="1" max="1" width="2.75" style="3" customWidth="1"/>
    <col min="2" max="2" width="10.125" style="3" customWidth="1"/>
    <col min="3" max="3" width="20.125" style="3" customWidth="1"/>
    <col min="4" max="4" width="17.125" style="3" customWidth="1"/>
    <col min="5" max="5" width="11.75" style="3" customWidth="1"/>
    <col min="6" max="6" width="11.375" style="3" customWidth="1"/>
    <col min="7" max="7" width="11.25" style="3" customWidth="1"/>
    <col min="8" max="8" width="10.625" style="3" customWidth="1"/>
    <col min="9" max="9" width="13.25" style="3" customWidth="1"/>
    <col min="10" max="10" width="20.25" style="3" customWidth="1"/>
    <col min="11" max="11" width="16.125" style="22" customWidth="1"/>
    <col min="12" max="12" width="18.75" style="22" customWidth="1"/>
    <col min="13" max="13" width="2.75" style="3" customWidth="1"/>
    <col min="14" max="14" width="8.125" style="3" bestFit="1" customWidth="1"/>
    <col min="15" max="16" width="9.125" style="3" hidden="1" customWidth="1"/>
    <col min="17" max="17" width="5.625" style="3" hidden="1" customWidth="1"/>
    <col min="18" max="18" width="5.25" style="3" hidden="1" customWidth="1"/>
    <col min="19" max="19" width="7.875" style="3" hidden="1" customWidth="1"/>
    <col min="20" max="20" width="8.875" style="3" hidden="1" customWidth="1"/>
    <col min="21" max="21" width="7.75" style="3" hidden="1" customWidth="1"/>
    <col min="22" max="22" width="8.125" style="3" hidden="1" customWidth="1"/>
    <col min="23" max="16384" width="9.125" style="3"/>
  </cols>
  <sheetData>
    <row r="1" spans="1:22" ht="13.5" customHeight="1" x14ac:dyDescent="0.25">
      <c r="A1" s="30"/>
      <c r="B1" s="31"/>
      <c r="C1" s="31"/>
      <c r="D1" s="32"/>
      <c r="E1" s="32"/>
      <c r="F1" s="32"/>
      <c r="G1" s="32"/>
      <c r="H1" s="32"/>
      <c r="I1" s="32"/>
      <c r="J1" s="32"/>
      <c r="K1" s="33"/>
      <c r="L1" s="34"/>
      <c r="M1" s="35"/>
    </row>
    <row r="2" spans="1:22" ht="15.9" customHeight="1" x14ac:dyDescent="0.3">
      <c r="A2" s="36"/>
      <c r="B2" s="768" t="str">
        <f>'WK1 - Identification'!E11</f>
        <v>Lismore City Council</v>
      </c>
      <c r="C2" s="769"/>
      <c r="D2" s="769"/>
      <c r="E2" s="769"/>
      <c r="F2" s="770"/>
      <c r="G2" s="38"/>
      <c r="H2" s="38"/>
      <c r="I2" s="38"/>
      <c r="J2" s="38"/>
      <c r="K2" s="39"/>
      <c r="L2" s="125"/>
      <c r="M2" s="41"/>
    </row>
    <row r="3" spans="1:22" ht="12.75" customHeight="1" x14ac:dyDescent="0.3">
      <c r="A3" s="36"/>
      <c r="B3" s="42"/>
      <c r="C3" s="42"/>
      <c r="D3" s="38"/>
      <c r="E3" s="38"/>
      <c r="F3" s="43"/>
      <c r="G3" s="38"/>
      <c r="H3" s="38"/>
      <c r="I3" s="38"/>
      <c r="J3" s="38"/>
      <c r="K3" s="39"/>
      <c r="L3" s="44"/>
      <c r="M3" s="45"/>
    </row>
    <row r="4" spans="1:22" ht="24.6" x14ac:dyDescent="0.4">
      <c r="A4" s="36"/>
      <c r="B4" s="756" t="s">
        <v>214</v>
      </c>
      <c r="C4" s="756"/>
      <c r="D4" s="756"/>
      <c r="E4" s="756"/>
      <c r="F4" s="756"/>
      <c r="G4" s="756"/>
      <c r="H4" s="756"/>
      <c r="I4" s="756"/>
      <c r="J4" s="756"/>
      <c r="K4" s="756"/>
      <c r="L4" s="756"/>
      <c r="M4" s="46"/>
    </row>
    <row r="5" spans="1:22" ht="12.75" customHeight="1" x14ac:dyDescent="0.25">
      <c r="A5" s="36"/>
      <c r="B5" s="47"/>
      <c r="C5" s="47"/>
      <c r="D5" s="42"/>
      <c r="E5" s="42"/>
      <c r="F5" s="42"/>
      <c r="G5" s="42"/>
      <c r="H5" s="42"/>
      <c r="I5" s="42"/>
      <c r="J5" s="38"/>
      <c r="K5" s="39"/>
      <c r="L5" s="39"/>
      <c r="M5" s="48"/>
    </row>
    <row r="6" spans="1:22" ht="24.6" x14ac:dyDescent="0.4">
      <c r="A6" s="36"/>
      <c r="B6" s="785" t="str">
        <f>"Calculation of Notional General Income "&amp;'WK0 - Input data'!$E$24</f>
        <v>Calculation of Notional General Income 2018-19</v>
      </c>
      <c r="C6" s="785"/>
      <c r="D6" s="785"/>
      <c r="E6" s="785"/>
      <c r="F6" s="785"/>
      <c r="G6" s="785"/>
      <c r="H6" s="785"/>
      <c r="I6" s="785"/>
      <c r="J6" s="785"/>
      <c r="K6" s="785"/>
      <c r="L6" s="785"/>
      <c r="M6" s="48"/>
    </row>
    <row r="7" spans="1:22" ht="3.75" customHeight="1" x14ac:dyDescent="0.25">
      <c r="A7" s="36"/>
      <c r="B7" s="49"/>
      <c r="C7" s="49"/>
      <c r="D7" s="50"/>
      <c r="E7" s="50"/>
      <c r="F7" s="286"/>
      <c r="G7" s="286"/>
      <c r="H7" s="287"/>
      <c r="I7" s="287"/>
      <c r="J7" s="38"/>
      <c r="K7" s="39"/>
      <c r="L7" s="39"/>
      <c r="M7" s="45"/>
    </row>
    <row r="8" spans="1:22" ht="24" customHeight="1" x14ac:dyDescent="0.4">
      <c r="A8" s="36"/>
      <c r="B8" s="788" t="s">
        <v>727</v>
      </c>
      <c r="C8" s="788"/>
      <c r="D8" s="788"/>
      <c r="E8" s="788"/>
      <c r="F8" s="788"/>
      <c r="G8" s="788"/>
      <c r="H8" s="788"/>
      <c r="I8" s="788"/>
      <c r="J8" s="788"/>
      <c r="K8" s="788"/>
      <c r="L8" s="788"/>
      <c r="M8" s="48"/>
      <c r="O8" s="90"/>
    </row>
    <row r="9" spans="1:22" ht="102.75" customHeight="1" x14ac:dyDescent="0.2">
      <c r="A9" s="36"/>
      <c r="B9" s="786" t="s">
        <v>574</v>
      </c>
      <c r="C9" s="787"/>
      <c r="D9" s="787"/>
      <c r="E9" s="787"/>
      <c r="F9" s="787"/>
      <c r="G9" s="787"/>
      <c r="H9" s="787"/>
      <c r="I9" s="787"/>
      <c r="J9" s="787"/>
      <c r="K9" s="787"/>
      <c r="L9" s="787"/>
      <c r="M9" s="45"/>
    </row>
    <row r="10" spans="1:22" ht="21.75" customHeight="1" x14ac:dyDescent="0.4">
      <c r="A10" s="36"/>
      <c r="B10" s="187"/>
      <c r="C10" s="775" t="s">
        <v>311</v>
      </c>
      <c r="D10" s="775"/>
      <c r="E10" s="775"/>
      <c r="F10" s="775"/>
      <c r="G10" s="775"/>
      <c r="H10" s="775"/>
      <c r="I10" s="775"/>
      <c r="J10" s="775"/>
      <c r="K10" s="775"/>
      <c r="L10" s="188"/>
      <c r="M10" s="45"/>
    </row>
    <row r="11" spans="1:22" ht="9.75" customHeight="1" x14ac:dyDescent="0.2">
      <c r="A11" s="36"/>
      <c r="B11" s="38"/>
      <c r="C11" s="38"/>
      <c r="D11" s="38"/>
      <c r="E11" s="38"/>
      <c r="F11" s="38"/>
      <c r="G11" s="38"/>
      <c r="H11" s="38"/>
      <c r="I11" s="38"/>
      <c r="J11" s="38"/>
      <c r="K11" s="38"/>
      <c r="L11" s="38"/>
      <c r="M11" s="45"/>
    </row>
    <row r="12" spans="1:22" s="7" customFormat="1" ht="57.75" customHeight="1" x14ac:dyDescent="0.2">
      <c r="A12" s="51"/>
      <c r="B12" s="52" t="s">
        <v>188</v>
      </c>
      <c r="C12" s="52" t="s">
        <v>189</v>
      </c>
      <c r="D12" s="54" t="s">
        <v>242</v>
      </c>
      <c r="E12" s="52" t="s">
        <v>190</v>
      </c>
      <c r="F12" s="52" t="s">
        <v>23</v>
      </c>
      <c r="G12" s="52" t="s">
        <v>191</v>
      </c>
      <c r="H12" s="53" t="s">
        <v>24</v>
      </c>
      <c r="I12" s="52" t="s">
        <v>192</v>
      </c>
      <c r="J12" s="54" t="s">
        <v>30</v>
      </c>
      <c r="K12" s="55" t="s">
        <v>194</v>
      </c>
      <c r="L12" s="365" t="s">
        <v>381</v>
      </c>
      <c r="M12" s="56"/>
    </row>
    <row r="13" spans="1:22" s="7" customFormat="1" ht="12.75" hidden="1" customHeight="1" x14ac:dyDescent="0.2">
      <c r="A13" s="8"/>
      <c r="B13" s="9" t="s">
        <v>195</v>
      </c>
      <c r="C13" s="9" t="s">
        <v>196</v>
      </c>
      <c r="D13" s="9" t="s">
        <v>197</v>
      </c>
      <c r="E13" s="9" t="s">
        <v>198</v>
      </c>
      <c r="F13" s="9" t="s">
        <v>199</v>
      </c>
      <c r="G13" s="10"/>
      <c r="H13" s="11" t="s">
        <v>200</v>
      </c>
      <c r="I13" s="9" t="s">
        <v>201</v>
      </c>
      <c r="J13" s="12" t="s">
        <v>202</v>
      </c>
      <c r="K13" s="12" t="s">
        <v>203</v>
      </c>
      <c r="L13" s="13" t="s">
        <v>204</v>
      </c>
      <c r="M13" s="14"/>
      <c r="O13" s="7" t="s">
        <v>195</v>
      </c>
      <c r="P13" s="7" t="s">
        <v>199</v>
      </c>
      <c r="Q13" s="7" t="s">
        <v>195</v>
      </c>
      <c r="R13" s="7" t="s">
        <v>199</v>
      </c>
      <c r="S13" s="7" t="s">
        <v>195</v>
      </c>
      <c r="T13" s="7" t="s">
        <v>199</v>
      </c>
      <c r="U13" s="7" t="s">
        <v>195</v>
      </c>
      <c r="V13" s="7" t="s">
        <v>199</v>
      </c>
    </row>
    <row r="14" spans="1:22" ht="26.4" x14ac:dyDescent="0.2">
      <c r="A14" s="36"/>
      <c r="B14" s="494" t="s">
        <v>207</v>
      </c>
      <c r="C14" s="16" t="s">
        <v>780</v>
      </c>
      <c r="D14" s="17">
        <f>11420+1115</f>
        <v>12535</v>
      </c>
      <c r="E14" s="18">
        <v>0.60070000000000001</v>
      </c>
      <c r="F14" s="17">
        <v>395</v>
      </c>
      <c r="G14" s="57">
        <f>IF(F14="", "",D14*F14/L14)</f>
        <v>0.33006923446750869</v>
      </c>
      <c r="H14" s="17"/>
      <c r="I14" s="17"/>
      <c r="J14" s="19">
        <f>1487586124+185385900</f>
        <v>1672972024</v>
      </c>
      <c r="K14" s="583"/>
      <c r="L14" s="58">
        <f>IF(D14="","",IF(F14&lt;&gt;"",F14*D14+J14*(E14/100),(J14-K14)*(E14/100)+H14*I14))</f>
        <v>15000867.948168</v>
      </c>
      <c r="M14" s="45"/>
      <c r="O14" s="3" t="s">
        <v>205</v>
      </c>
      <c r="P14" s="3" t="s">
        <v>206</v>
      </c>
      <c r="Q14" s="3" t="s">
        <v>207</v>
      </c>
      <c r="R14" s="3" t="s">
        <v>206</v>
      </c>
      <c r="S14" s="3" t="s">
        <v>208</v>
      </c>
      <c r="T14" s="3" t="s">
        <v>206</v>
      </c>
      <c r="U14" s="3" t="s">
        <v>209</v>
      </c>
      <c r="V14" s="3" t="s">
        <v>206</v>
      </c>
    </row>
    <row r="15" spans="1:22" ht="26.4" x14ac:dyDescent="0.2">
      <c r="A15" s="36"/>
      <c r="B15" s="494" t="s">
        <v>207</v>
      </c>
      <c r="C15" s="16" t="s">
        <v>781</v>
      </c>
      <c r="D15" s="17">
        <v>2956</v>
      </c>
      <c r="E15" s="18">
        <v>0.48930000000000001</v>
      </c>
      <c r="F15" s="17">
        <v>395</v>
      </c>
      <c r="G15" s="57">
        <f t="shared" ref="G15:G46" si="0">IF(F15="", "",D15*F15/L15)</f>
        <v>0.26350767176569134</v>
      </c>
      <c r="H15" s="17"/>
      <c r="I15" s="17"/>
      <c r="J15" s="19">
        <v>666962280</v>
      </c>
      <c r="K15" s="583"/>
      <c r="L15" s="58">
        <f t="shared" ref="L15:L33" si="1">IF(D15="","",IF(F15&lt;&gt;"",F15*D15+J15*(E15/100),(J15-K15)*(E15/100)+H15*I15))</f>
        <v>4431066.4360400001</v>
      </c>
      <c r="M15" s="45"/>
    </row>
    <row r="16" spans="1:22" ht="26.4" x14ac:dyDescent="0.2">
      <c r="A16" s="36"/>
      <c r="B16" s="494" t="s">
        <v>207</v>
      </c>
      <c r="C16" s="16"/>
      <c r="D16" s="17"/>
      <c r="E16" s="18"/>
      <c r="F16" s="17"/>
      <c r="G16" s="57" t="str">
        <f t="shared" si="0"/>
        <v/>
      </c>
      <c r="H16" s="17"/>
      <c r="I16" s="17"/>
      <c r="J16" s="19"/>
      <c r="K16" s="583"/>
      <c r="L16" s="58" t="str">
        <f t="shared" si="1"/>
        <v/>
      </c>
      <c r="M16" s="45"/>
    </row>
    <row r="17" spans="1:13" ht="26.4" x14ac:dyDescent="0.2">
      <c r="A17" s="36"/>
      <c r="B17" s="494" t="s">
        <v>207</v>
      </c>
      <c r="C17" s="16"/>
      <c r="D17" s="17"/>
      <c r="E17" s="18"/>
      <c r="F17" s="17"/>
      <c r="G17" s="57" t="str">
        <f t="shared" si="0"/>
        <v/>
      </c>
      <c r="H17" s="17"/>
      <c r="I17" s="17"/>
      <c r="J17" s="19"/>
      <c r="K17" s="583"/>
      <c r="L17" s="58" t="str">
        <f t="shared" si="1"/>
        <v/>
      </c>
      <c r="M17" s="45"/>
    </row>
    <row r="18" spans="1:13" ht="26.4" x14ac:dyDescent="0.2">
      <c r="A18" s="36"/>
      <c r="B18" s="494" t="s">
        <v>207</v>
      </c>
      <c r="C18" s="16"/>
      <c r="D18" s="17"/>
      <c r="E18" s="18"/>
      <c r="F18" s="17"/>
      <c r="G18" s="57" t="str">
        <f t="shared" si="0"/>
        <v/>
      </c>
      <c r="H18" s="17"/>
      <c r="I18" s="17"/>
      <c r="J18" s="19"/>
      <c r="K18" s="583"/>
      <c r="L18" s="58" t="str">
        <f t="shared" si="1"/>
        <v/>
      </c>
      <c r="M18" s="45"/>
    </row>
    <row r="19" spans="1:13" ht="26.4" x14ac:dyDescent="0.2">
      <c r="A19" s="36"/>
      <c r="B19" s="494" t="s">
        <v>207</v>
      </c>
      <c r="C19" s="16"/>
      <c r="D19" s="17"/>
      <c r="E19" s="18"/>
      <c r="F19" s="17"/>
      <c r="G19" s="57" t="str">
        <f t="shared" si="0"/>
        <v/>
      </c>
      <c r="H19" s="17"/>
      <c r="I19" s="17"/>
      <c r="J19" s="583"/>
      <c r="K19" s="583"/>
      <c r="L19" s="58" t="str">
        <f t="shared" si="1"/>
        <v/>
      </c>
      <c r="M19" s="45"/>
    </row>
    <row r="20" spans="1:13" ht="26.4" x14ac:dyDescent="0.2">
      <c r="A20" s="36"/>
      <c r="B20" s="494" t="s">
        <v>207</v>
      </c>
      <c r="C20" s="16"/>
      <c r="D20" s="17"/>
      <c r="E20" s="18"/>
      <c r="F20" s="17"/>
      <c r="G20" s="57" t="str">
        <f t="shared" si="0"/>
        <v/>
      </c>
      <c r="H20" s="17"/>
      <c r="I20" s="17"/>
      <c r="J20" s="583"/>
      <c r="K20" s="583"/>
      <c r="L20" s="58" t="str">
        <f t="shared" si="1"/>
        <v/>
      </c>
      <c r="M20" s="45"/>
    </row>
    <row r="21" spans="1:13" ht="26.4" x14ac:dyDescent="0.2">
      <c r="A21" s="36"/>
      <c r="B21" s="494" t="s">
        <v>207</v>
      </c>
      <c r="C21" s="16"/>
      <c r="D21" s="17"/>
      <c r="E21" s="18"/>
      <c r="F21" s="17"/>
      <c r="G21" s="57" t="str">
        <f t="shared" si="0"/>
        <v/>
      </c>
      <c r="H21" s="17"/>
      <c r="I21" s="17"/>
      <c r="J21" s="583"/>
      <c r="K21" s="583"/>
      <c r="L21" s="58" t="str">
        <f t="shared" si="1"/>
        <v/>
      </c>
      <c r="M21" s="45"/>
    </row>
    <row r="22" spans="1:13" ht="26.4" x14ac:dyDescent="0.2">
      <c r="A22" s="36"/>
      <c r="B22" s="494" t="s">
        <v>207</v>
      </c>
      <c r="C22" s="16"/>
      <c r="D22" s="17"/>
      <c r="E22" s="18"/>
      <c r="F22" s="17"/>
      <c r="G22" s="57" t="str">
        <f t="shared" si="0"/>
        <v/>
      </c>
      <c r="H22" s="17"/>
      <c r="I22" s="17"/>
      <c r="J22" s="583"/>
      <c r="K22" s="583"/>
      <c r="L22" s="58" t="str">
        <f t="shared" si="1"/>
        <v/>
      </c>
      <c r="M22" s="45"/>
    </row>
    <row r="23" spans="1:13" ht="26.4" x14ac:dyDescent="0.2">
      <c r="A23" s="36"/>
      <c r="B23" s="494" t="s">
        <v>207</v>
      </c>
      <c r="C23" s="16"/>
      <c r="D23" s="17"/>
      <c r="E23" s="18"/>
      <c r="F23" s="17"/>
      <c r="G23" s="57" t="str">
        <f t="shared" si="0"/>
        <v/>
      </c>
      <c r="H23" s="17"/>
      <c r="I23" s="17"/>
      <c r="J23" s="583"/>
      <c r="K23" s="583"/>
      <c r="L23" s="58" t="str">
        <f t="shared" si="1"/>
        <v/>
      </c>
      <c r="M23" s="45"/>
    </row>
    <row r="24" spans="1:13" ht="26.4" x14ac:dyDescent="0.2">
      <c r="A24" s="36"/>
      <c r="B24" s="494" t="s">
        <v>207</v>
      </c>
      <c r="C24" s="16"/>
      <c r="D24" s="17"/>
      <c r="E24" s="18"/>
      <c r="F24" s="17"/>
      <c r="G24" s="57" t="str">
        <f t="shared" si="0"/>
        <v/>
      </c>
      <c r="H24" s="17"/>
      <c r="I24" s="17"/>
      <c r="J24" s="583"/>
      <c r="K24" s="583"/>
      <c r="L24" s="58" t="str">
        <f t="shared" si="1"/>
        <v/>
      </c>
      <c r="M24" s="45"/>
    </row>
    <row r="25" spans="1:13" ht="26.4" x14ac:dyDescent="0.2">
      <c r="A25" s="36"/>
      <c r="B25" s="494" t="s">
        <v>207</v>
      </c>
      <c r="C25" s="16"/>
      <c r="D25" s="17"/>
      <c r="E25" s="18"/>
      <c r="F25" s="17"/>
      <c r="G25" s="57" t="str">
        <f t="shared" si="0"/>
        <v/>
      </c>
      <c r="H25" s="17"/>
      <c r="I25" s="17"/>
      <c r="J25" s="583"/>
      <c r="K25" s="583"/>
      <c r="L25" s="58" t="str">
        <f t="shared" si="1"/>
        <v/>
      </c>
      <c r="M25" s="45"/>
    </row>
    <row r="26" spans="1:13" ht="26.4" x14ac:dyDescent="0.2">
      <c r="A26" s="36"/>
      <c r="B26" s="494" t="s">
        <v>207</v>
      </c>
      <c r="C26" s="16"/>
      <c r="D26" s="17"/>
      <c r="E26" s="18"/>
      <c r="F26" s="17"/>
      <c r="G26" s="57" t="str">
        <f t="shared" si="0"/>
        <v/>
      </c>
      <c r="H26" s="17"/>
      <c r="I26" s="17"/>
      <c r="J26" s="583"/>
      <c r="K26" s="583"/>
      <c r="L26" s="58" t="str">
        <f t="shared" si="1"/>
        <v/>
      </c>
      <c r="M26" s="45"/>
    </row>
    <row r="27" spans="1:13" ht="26.4" x14ac:dyDescent="0.2">
      <c r="A27" s="36"/>
      <c r="B27" s="494" t="s">
        <v>207</v>
      </c>
      <c r="C27" s="16"/>
      <c r="D27" s="17"/>
      <c r="E27" s="18"/>
      <c r="F27" s="17"/>
      <c r="G27" s="57" t="str">
        <f t="shared" si="0"/>
        <v/>
      </c>
      <c r="H27" s="17"/>
      <c r="I27" s="17"/>
      <c r="J27" s="583"/>
      <c r="K27" s="583"/>
      <c r="L27" s="58" t="str">
        <f t="shared" si="1"/>
        <v/>
      </c>
      <c r="M27" s="45"/>
    </row>
    <row r="28" spans="1:13" ht="26.4" x14ac:dyDescent="0.2">
      <c r="A28" s="36"/>
      <c r="B28" s="494" t="s">
        <v>207</v>
      </c>
      <c r="C28" s="16"/>
      <c r="D28" s="17"/>
      <c r="E28" s="18"/>
      <c r="F28" s="17"/>
      <c r="G28" s="57" t="str">
        <f t="shared" si="0"/>
        <v/>
      </c>
      <c r="H28" s="17"/>
      <c r="I28" s="17"/>
      <c r="J28" s="583"/>
      <c r="K28" s="583"/>
      <c r="L28" s="58" t="str">
        <f t="shared" si="1"/>
        <v/>
      </c>
      <c r="M28" s="45"/>
    </row>
    <row r="29" spans="1:13" ht="26.4" x14ac:dyDescent="0.2">
      <c r="A29" s="36"/>
      <c r="B29" s="494" t="s">
        <v>207</v>
      </c>
      <c r="C29" s="16"/>
      <c r="D29" s="17"/>
      <c r="E29" s="18"/>
      <c r="F29" s="17"/>
      <c r="G29" s="57" t="str">
        <f t="shared" si="0"/>
        <v/>
      </c>
      <c r="H29" s="17"/>
      <c r="I29" s="17"/>
      <c r="J29" s="583"/>
      <c r="K29" s="583"/>
      <c r="L29" s="58" t="str">
        <f t="shared" si="1"/>
        <v/>
      </c>
      <c r="M29" s="45"/>
    </row>
    <row r="30" spans="1:13" ht="26.4" x14ac:dyDescent="0.2">
      <c r="A30" s="36"/>
      <c r="B30" s="494" t="s">
        <v>207</v>
      </c>
      <c r="C30" s="16"/>
      <c r="D30" s="17"/>
      <c r="E30" s="18"/>
      <c r="F30" s="17"/>
      <c r="G30" s="57" t="str">
        <f t="shared" si="0"/>
        <v/>
      </c>
      <c r="H30" s="17"/>
      <c r="I30" s="17"/>
      <c r="J30" s="19"/>
      <c r="K30" s="19"/>
      <c r="L30" s="58" t="str">
        <f t="shared" si="1"/>
        <v/>
      </c>
      <c r="M30" s="45"/>
    </row>
    <row r="31" spans="1:13" ht="26.4" x14ac:dyDescent="0.2">
      <c r="A31" s="36"/>
      <c r="B31" s="494" t="s">
        <v>207</v>
      </c>
      <c r="C31" s="16"/>
      <c r="D31" s="17"/>
      <c r="E31" s="18"/>
      <c r="F31" s="17"/>
      <c r="G31" s="57" t="str">
        <f t="shared" si="0"/>
        <v/>
      </c>
      <c r="H31" s="17"/>
      <c r="I31" s="17"/>
      <c r="J31" s="19"/>
      <c r="K31" s="19"/>
      <c r="L31" s="58" t="str">
        <f t="shared" si="1"/>
        <v/>
      </c>
      <c r="M31" s="45"/>
    </row>
    <row r="32" spans="1:13" ht="26.4" x14ac:dyDescent="0.2">
      <c r="A32" s="36"/>
      <c r="B32" s="494" t="s">
        <v>207</v>
      </c>
      <c r="C32" s="16"/>
      <c r="D32" s="17"/>
      <c r="E32" s="18"/>
      <c r="F32" s="17"/>
      <c r="G32" s="57" t="str">
        <f t="shared" si="0"/>
        <v/>
      </c>
      <c r="H32" s="17"/>
      <c r="I32" s="17"/>
      <c r="J32" s="19"/>
      <c r="K32" s="19"/>
      <c r="L32" s="58" t="str">
        <f t="shared" si="1"/>
        <v/>
      </c>
      <c r="M32" s="45"/>
    </row>
    <row r="33" spans="1:14" ht="26.4" x14ac:dyDescent="0.2">
      <c r="A33" s="36"/>
      <c r="B33" s="494" t="s">
        <v>207</v>
      </c>
      <c r="C33" s="16"/>
      <c r="D33" s="17"/>
      <c r="E33" s="18"/>
      <c r="F33" s="17"/>
      <c r="G33" s="57" t="str">
        <f t="shared" si="0"/>
        <v/>
      </c>
      <c r="H33" s="17"/>
      <c r="I33" s="17"/>
      <c r="J33" s="19"/>
      <c r="K33" s="19"/>
      <c r="L33" s="58" t="str">
        <f t="shared" si="1"/>
        <v/>
      </c>
      <c r="M33" s="45"/>
    </row>
    <row r="34" spans="1:14" s="451" customFormat="1" x14ac:dyDescent="0.25">
      <c r="A34" s="447"/>
      <c r="B34" s="448"/>
      <c r="C34" s="448" t="s">
        <v>453</v>
      </c>
      <c r="D34" s="544">
        <f>SUM(D14:D33)</f>
        <v>15491</v>
      </c>
      <c r="E34" s="448"/>
      <c r="F34" s="448"/>
      <c r="G34" s="448"/>
      <c r="H34" s="448"/>
      <c r="I34" s="448">
        <f>SUM(I14:I33)</f>
        <v>0</v>
      </c>
      <c r="J34" s="448">
        <f>SUM(J14:J33)</f>
        <v>2339934304</v>
      </c>
      <c r="K34" s="448">
        <f>SUM(K14:K33)</f>
        <v>0</v>
      </c>
      <c r="L34" s="448">
        <f>SUM(L14:L33)</f>
        <v>19431934.384208001</v>
      </c>
      <c r="M34" s="449"/>
      <c r="N34" s="450"/>
    </row>
    <row r="35" spans="1:14" x14ac:dyDescent="0.2">
      <c r="A35" s="36"/>
      <c r="B35" s="494" t="s">
        <v>209</v>
      </c>
      <c r="C35" s="16" t="s">
        <v>782</v>
      </c>
      <c r="D35" s="17">
        <v>234</v>
      </c>
      <c r="E35" s="18">
        <v>5.5039999999999996</v>
      </c>
      <c r="F35" s="17">
        <v>395</v>
      </c>
      <c r="G35" s="57">
        <f t="shared" si="0"/>
        <v>4.6847978691067743E-2</v>
      </c>
      <c r="H35" s="17"/>
      <c r="I35" s="17"/>
      <c r="J35" s="19">
        <v>34166921</v>
      </c>
      <c r="K35" s="583"/>
      <c r="L35" s="58">
        <f t="shared" ref="L35:L83" si="2">IF(D35="","",IF(F35&lt;&gt;"",F35*D35+J35*(E35/100),(J35-K35)*(E35/100)+H35*I35))</f>
        <v>1972977.3318399999</v>
      </c>
      <c r="M35" s="45"/>
    </row>
    <row r="36" spans="1:14" x14ac:dyDescent="0.2">
      <c r="A36" s="36"/>
      <c r="B36" s="494" t="s">
        <v>209</v>
      </c>
      <c r="C36" s="16" t="s">
        <v>783</v>
      </c>
      <c r="D36" s="17">
        <v>863</v>
      </c>
      <c r="E36" s="18">
        <v>1.5606</v>
      </c>
      <c r="F36" s="17">
        <v>395</v>
      </c>
      <c r="G36" s="57">
        <f t="shared" si="0"/>
        <v>8.7483844609490768E-2</v>
      </c>
      <c r="H36" s="17"/>
      <c r="I36" s="17"/>
      <c r="J36" s="19">
        <v>227839485</v>
      </c>
      <c r="K36" s="583"/>
      <c r="L36" s="58">
        <f t="shared" si="2"/>
        <v>3896548.0029099998</v>
      </c>
      <c r="M36" s="45"/>
    </row>
    <row r="37" spans="1:14" x14ac:dyDescent="0.2">
      <c r="A37" s="36"/>
      <c r="B37" s="494" t="s">
        <v>209</v>
      </c>
      <c r="C37" s="16" t="s">
        <v>784</v>
      </c>
      <c r="D37" s="17">
        <v>84</v>
      </c>
      <c r="E37" s="18">
        <v>0.86119999999999997</v>
      </c>
      <c r="F37" s="17">
        <v>395</v>
      </c>
      <c r="G37" s="57">
        <f t="shared" si="0"/>
        <v>0.22783998585033211</v>
      </c>
      <c r="H37" s="17"/>
      <c r="I37" s="17"/>
      <c r="J37" s="19">
        <v>13057190</v>
      </c>
      <c r="K37" s="583"/>
      <c r="L37" s="58">
        <f t="shared" si="2"/>
        <v>145628.52028</v>
      </c>
      <c r="M37" s="45"/>
    </row>
    <row r="38" spans="1:14" x14ac:dyDescent="0.2">
      <c r="A38" s="36"/>
      <c r="B38" s="494" t="s">
        <v>209</v>
      </c>
      <c r="C38" s="16" t="s">
        <v>785</v>
      </c>
      <c r="D38" s="17">
        <v>40</v>
      </c>
      <c r="E38" s="18">
        <v>1.0846</v>
      </c>
      <c r="F38" s="17">
        <v>395</v>
      </c>
      <c r="G38" s="57">
        <f t="shared" si="0"/>
        <v>0.16618357172485901</v>
      </c>
      <c r="H38" s="17"/>
      <c r="I38" s="17"/>
      <c r="J38" s="583">
        <v>7309200</v>
      </c>
      <c r="K38" s="583"/>
      <c r="L38" s="58">
        <f t="shared" si="2"/>
        <v>95075.583199999994</v>
      </c>
      <c r="M38" s="45"/>
    </row>
    <row r="39" spans="1:14" x14ac:dyDescent="0.25">
      <c r="A39" s="36"/>
      <c r="B39" s="494" t="s">
        <v>209</v>
      </c>
      <c r="C39" s="357"/>
      <c r="D39" s="17"/>
      <c r="E39" s="18"/>
      <c r="F39" s="17"/>
      <c r="G39" s="57" t="str">
        <f t="shared" si="0"/>
        <v/>
      </c>
      <c r="H39" s="17"/>
      <c r="I39" s="17"/>
      <c r="J39" s="583"/>
      <c r="K39" s="583"/>
      <c r="L39" s="58" t="str">
        <f t="shared" si="2"/>
        <v/>
      </c>
      <c r="M39" s="45"/>
    </row>
    <row r="40" spans="1:14" x14ac:dyDescent="0.25">
      <c r="A40" s="36"/>
      <c r="B40" s="494" t="s">
        <v>209</v>
      </c>
      <c r="C40" s="357"/>
      <c r="D40" s="17"/>
      <c r="E40" s="18"/>
      <c r="F40" s="17"/>
      <c r="G40" s="57" t="str">
        <f t="shared" si="0"/>
        <v/>
      </c>
      <c r="H40" s="17"/>
      <c r="I40" s="17"/>
      <c r="J40" s="583"/>
      <c r="K40" s="583"/>
      <c r="L40" s="58" t="str">
        <f t="shared" si="2"/>
        <v/>
      </c>
      <c r="M40" s="45"/>
    </row>
    <row r="41" spans="1:14" x14ac:dyDescent="0.25">
      <c r="A41" s="36"/>
      <c r="B41" s="494" t="s">
        <v>209</v>
      </c>
      <c r="C41" s="357"/>
      <c r="D41" s="17"/>
      <c r="E41" s="18"/>
      <c r="F41" s="17"/>
      <c r="G41" s="57" t="str">
        <f t="shared" si="0"/>
        <v/>
      </c>
      <c r="H41" s="17"/>
      <c r="I41" s="17"/>
      <c r="J41" s="583"/>
      <c r="K41" s="583"/>
      <c r="L41" s="58" t="str">
        <f t="shared" si="2"/>
        <v/>
      </c>
      <c r="M41" s="45"/>
    </row>
    <row r="42" spans="1:14" x14ac:dyDescent="0.25">
      <c r="A42" s="36"/>
      <c r="B42" s="494" t="s">
        <v>209</v>
      </c>
      <c r="C42" s="357"/>
      <c r="D42" s="17"/>
      <c r="E42" s="18"/>
      <c r="F42" s="17"/>
      <c r="G42" s="57" t="str">
        <f t="shared" si="0"/>
        <v/>
      </c>
      <c r="H42" s="17"/>
      <c r="I42" s="17"/>
      <c r="J42" s="583"/>
      <c r="K42" s="583"/>
      <c r="L42" s="58" t="str">
        <f t="shared" si="2"/>
        <v/>
      </c>
      <c r="M42" s="45"/>
    </row>
    <row r="43" spans="1:14" x14ac:dyDescent="0.25">
      <c r="A43" s="36"/>
      <c r="B43" s="494" t="s">
        <v>209</v>
      </c>
      <c r="C43" s="357"/>
      <c r="D43" s="17"/>
      <c r="E43" s="18"/>
      <c r="F43" s="17"/>
      <c r="G43" s="57" t="str">
        <f t="shared" si="0"/>
        <v/>
      </c>
      <c r="H43" s="17"/>
      <c r="I43" s="17"/>
      <c r="J43" s="583"/>
      <c r="K43" s="583"/>
      <c r="L43" s="58" t="str">
        <f t="shared" si="2"/>
        <v/>
      </c>
      <c r="M43" s="45"/>
    </row>
    <row r="44" spans="1:14" x14ac:dyDescent="0.25">
      <c r="A44" s="36"/>
      <c r="B44" s="494" t="s">
        <v>209</v>
      </c>
      <c r="C44" s="357"/>
      <c r="D44" s="17"/>
      <c r="E44" s="18"/>
      <c r="F44" s="17"/>
      <c r="G44" s="57" t="str">
        <f t="shared" si="0"/>
        <v/>
      </c>
      <c r="H44" s="17"/>
      <c r="I44" s="17"/>
      <c r="J44" s="583"/>
      <c r="K44" s="583"/>
      <c r="L44" s="58" t="str">
        <f t="shared" si="2"/>
        <v/>
      </c>
      <c r="M44" s="45"/>
    </row>
    <row r="45" spans="1:14" x14ac:dyDescent="0.25">
      <c r="A45" s="36"/>
      <c r="B45" s="494" t="s">
        <v>209</v>
      </c>
      <c r="C45" s="357"/>
      <c r="D45" s="17"/>
      <c r="E45" s="18"/>
      <c r="F45" s="17"/>
      <c r="G45" s="57" t="str">
        <f t="shared" si="0"/>
        <v/>
      </c>
      <c r="H45" s="17"/>
      <c r="I45" s="17"/>
      <c r="J45" s="583"/>
      <c r="K45" s="583"/>
      <c r="L45" s="58" t="str">
        <f t="shared" si="2"/>
        <v/>
      </c>
      <c r="M45" s="45"/>
    </row>
    <row r="46" spans="1:14" x14ac:dyDescent="0.25">
      <c r="A46" s="36"/>
      <c r="B46" s="494" t="s">
        <v>209</v>
      </c>
      <c r="C46" s="357"/>
      <c r="D46" s="17"/>
      <c r="E46" s="18"/>
      <c r="F46" s="17"/>
      <c r="G46" s="57" t="str">
        <f t="shared" si="0"/>
        <v/>
      </c>
      <c r="H46" s="17"/>
      <c r="I46" s="17"/>
      <c r="J46" s="19"/>
      <c r="K46" s="19"/>
      <c r="L46" s="58" t="str">
        <f t="shared" si="2"/>
        <v/>
      </c>
      <c r="M46" s="45"/>
    </row>
    <row r="47" spans="1:14" x14ac:dyDescent="0.25">
      <c r="A47" s="36"/>
      <c r="B47" s="494" t="s">
        <v>209</v>
      </c>
      <c r="C47" s="357"/>
      <c r="D47" s="17"/>
      <c r="E47" s="18"/>
      <c r="F47" s="17"/>
      <c r="G47" s="57" t="str">
        <f t="shared" ref="G47:G83" si="3">IF(F47="","",D47*F47/L47)</f>
        <v/>
      </c>
      <c r="H47" s="17"/>
      <c r="I47" s="17"/>
      <c r="J47" s="19"/>
      <c r="K47" s="19"/>
      <c r="L47" s="58" t="str">
        <f t="shared" si="2"/>
        <v/>
      </c>
      <c r="M47" s="45"/>
    </row>
    <row r="48" spans="1:14" x14ac:dyDescent="0.25">
      <c r="A48" s="36"/>
      <c r="B48" s="494" t="s">
        <v>209</v>
      </c>
      <c r="C48" s="357"/>
      <c r="D48" s="17"/>
      <c r="E48" s="18"/>
      <c r="F48" s="17"/>
      <c r="G48" s="57" t="str">
        <f t="shared" si="3"/>
        <v/>
      </c>
      <c r="H48" s="17"/>
      <c r="I48" s="17"/>
      <c r="J48" s="19"/>
      <c r="K48" s="19"/>
      <c r="L48" s="58" t="str">
        <f t="shared" si="2"/>
        <v/>
      </c>
      <c r="M48" s="45"/>
    </row>
    <row r="49" spans="1:13" x14ac:dyDescent="0.25">
      <c r="A49" s="36"/>
      <c r="B49" s="494" t="s">
        <v>209</v>
      </c>
      <c r="C49" s="357"/>
      <c r="D49" s="17"/>
      <c r="E49" s="18"/>
      <c r="F49" s="17"/>
      <c r="G49" s="57" t="str">
        <f t="shared" si="3"/>
        <v/>
      </c>
      <c r="H49" s="17"/>
      <c r="I49" s="17"/>
      <c r="J49" s="19"/>
      <c r="K49" s="19"/>
      <c r="L49" s="58" t="str">
        <f t="shared" si="2"/>
        <v/>
      </c>
      <c r="M49" s="45"/>
    </row>
    <row r="50" spans="1:13" x14ac:dyDescent="0.25">
      <c r="A50" s="36"/>
      <c r="B50" s="494" t="s">
        <v>209</v>
      </c>
      <c r="C50" s="357"/>
      <c r="D50" s="17"/>
      <c r="E50" s="18"/>
      <c r="F50" s="17"/>
      <c r="G50" s="57" t="str">
        <f t="shared" si="3"/>
        <v/>
      </c>
      <c r="H50" s="17"/>
      <c r="I50" s="17"/>
      <c r="J50" s="19"/>
      <c r="K50" s="19"/>
      <c r="L50" s="58" t="str">
        <f t="shared" si="2"/>
        <v/>
      </c>
      <c r="M50" s="45"/>
    </row>
    <row r="51" spans="1:13" x14ac:dyDescent="0.25">
      <c r="A51" s="36"/>
      <c r="B51" s="494" t="s">
        <v>209</v>
      </c>
      <c r="C51" s="357"/>
      <c r="D51" s="17"/>
      <c r="E51" s="18"/>
      <c r="F51" s="17"/>
      <c r="G51" s="57" t="str">
        <f t="shared" si="3"/>
        <v/>
      </c>
      <c r="H51" s="17"/>
      <c r="I51" s="17"/>
      <c r="J51" s="19"/>
      <c r="K51" s="19"/>
      <c r="L51" s="58" t="str">
        <f t="shared" si="2"/>
        <v/>
      </c>
      <c r="M51" s="45"/>
    </row>
    <row r="52" spans="1:13" x14ac:dyDescent="0.25">
      <c r="A52" s="36"/>
      <c r="B52" s="494" t="s">
        <v>209</v>
      </c>
      <c r="C52" s="357"/>
      <c r="D52" s="17"/>
      <c r="E52" s="18"/>
      <c r="F52" s="17"/>
      <c r="G52" s="57" t="str">
        <f t="shared" si="3"/>
        <v/>
      </c>
      <c r="H52" s="17"/>
      <c r="I52" s="17"/>
      <c r="J52" s="19"/>
      <c r="K52" s="19"/>
      <c r="L52" s="58" t="str">
        <f t="shared" si="2"/>
        <v/>
      </c>
      <c r="M52" s="45"/>
    </row>
    <row r="53" spans="1:13" x14ac:dyDescent="0.25">
      <c r="A53" s="36"/>
      <c r="B53" s="494" t="s">
        <v>209</v>
      </c>
      <c r="C53" s="357"/>
      <c r="D53" s="17"/>
      <c r="E53" s="18"/>
      <c r="F53" s="17"/>
      <c r="G53" s="57" t="str">
        <f t="shared" si="3"/>
        <v/>
      </c>
      <c r="H53" s="17"/>
      <c r="I53" s="17"/>
      <c r="J53" s="19"/>
      <c r="K53" s="19"/>
      <c r="L53" s="58" t="str">
        <f t="shared" si="2"/>
        <v/>
      </c>
      <c r="M53" s="45"/>
    </row>
    <row r="54" spans="1:13" x14ac:dyDescent="0.25">
      <c r="A54" s="36"/>
      <c r="B54" s="494" t="s">
        <v>209</v>
      </c>
      <c r="C54" s="357"/>
      <c r="D54" s="17"/>
      <c r="E54" s="18"/>
      <c r="F54" s="17"/>
      <c r="G54" s="57" t="str">
        <f t="shared" si="3"/>
        <v/>
      </c>
      <c r="H54" s="17"/>
      <c r="I54" s="17"/>
      <c r="J54" s="19"/>
      <c r="K54" s="19"/>
      <c r="L54" s="58" t="str">
        <f t="shared" si="2"/>
        <v/>
      </c>
      <c r="M54" s="45"/>
    </row>
    <row r="55" spans="1:13" x14ac:dyDescent="0.25">
      <c r="A55" s="36"/>
      <c r="B55" s="494" t="s">
        <v>209</v>
      </c>
      <c r="C55" s="357"/>
      <c r="D55" s="17"/>
      <c r="E55" s="18"/>
      <c r="F55" s="17"/>
      <c r="G55" s="57" t="str">
        <f t="shared" si="3"/>
        <v/>
      </c>
      <c r="H55" s="17"/>
      <c r="I55" s="17"/>
      <c r="J55" s="19"/>
      <c r="K55" s="19"/>
      <c r="L55" s="58" t="str">
        <f t="shared" si="2"/>
        <v/>
      </c>
      <c r="M55" s="45"/>
    </row>
    <row r="56" spans="1:13" x14ac:dyDescent="0.25">
      <c r="A56" s="36"/>
      <c r="B56" s="494" t="s">
        <v>209</v>
      </c>
      <c r="C56" s="357"/>
      <c r="D56" s="17"/>
      <c r="E56" s="18"/>
      <c r="F56" s="17"/>
      <c r="G56" s="57" t="str">
        <f t="shared" si="3"/>
        <v/>
      </c>
      <c r="H56" s="17"/>
      <c r="I56" s="17"/>
      <c r="J56" s="19"/>
      <c r="K56" s="19"/>
      <c r="L56" s="58" t="str">
        <f t="shared" si="2"/>
        <v/>
      </c>
      <c r="M56" s="45"/>
    </row>
    <row r="57" spans="1:13" x14ac:dyDescent="0.25">
      <c r="A57" s="36"/>
      <c r="B57" s="494" t="s">
        <v>209</v>
      </c>
      <c r="C57" s="357"/>
      <c r="D57" s="17"/>
      <c r="E57" s="18"/>
      <c r="F57" s="17"/>
      <c r="G57" s="57" t="str">
        <f t="shared" si="3"/>
        <v/>
      </c>
      <c r="H57" s="17"/>
      <c r="I57" s="17"/>
      <c r="J57" s="19"/>
      <c r="K57" s="19"/>
      <c r="L57" s="58" t="str">
        <f t="shared" si="2"/>
        <v/>
      </c>
      <c r="M57" s="45"/>
    </row>
    <row r="58" spans="1:13" x14ac:dyDescent="0.25">
      <c r="A58" s="36"/>
      <c r="B58" s="494" t="s">
        <v>209</v>
      </c>
      <c r="C58" s="357"/>
      <c r="D58" s="17"/>
      <c r="E58" s="18"/>
      <c r="F58" s="17"/>
      <c r="G58" s="57" t="str">
        <f t="shared" si="3"/>
        <v/>
      </c>
      <c r="H58" s="17"/>
      <c r="I58" s="17"/>
      <c r="J58" s="19"/>
      <c r="K58" s="19"/>
      <c r="L58" s="58" t="str">
        <f t="shared" si="2"/>
        <v/>
      </c>
      <c r="M58" s="45"/>
    </row>
    <row r="59" spans="1:13" x14ac:dyDescent="0.25">
      <c r="A59" s="36"/>
      <c r="B59" s="494" t="s">
        <v>209</v>
      </c>
      <c r="C59" s="357"/>
      <c r="D59" s="17"/>
      <c r="E59" s="18"/>
      <c r="F59" s="17"/>
      <c r="G59" s="57" t="str">
        <f t="shared" si="3"/>
        <v/>
      </c>
      <c r="H59" s="17"/>
      <c r="I59" s="17"/>
      <c r="J59" s="19"/>
      <c r="K59" s="19"/>
      <c r="L59" s="58" t="str">
        <f t="shared" si="2"/>
        <v/>
      </c>
      <c r="M59" s="45"/>
    </row>
    <row r="60" spans="1:13" x14ac:dyDescent="0.2">
      <c r="A60" s="36"/>
      <c r="B60" s="448"/>
      <c r="C60" s="448" t="s">
        <v>452</v>
      </c>
      <c r="D60" s="544">
        <f>SUM(D35:D59)</f>
        <v>1221</v>
      </c>
      <c r="E60" s="448"/>
      <c r="F60" s="448"/>
      <c r="G60" s="448"/>
      <c r="H60" s="448"/>
      <c r="I60" s="448">
        <f>SUM(I35:I59)</f>
        <v>0</v>
      </c>
      <c r="J60" s="448">
        <f>SUM(J35:J59)</f>
        <v>282372796</v>
      </c>
      <c r="K60" s="448">
        <f>SUM(K35:K59)</f>
        <v>0</v>
      </c>
      <c r="L60" s="448">
        <f>SUM(L35:L59)</f>
        <v>6110229.4382299995</v>
      </c>
      <c r="M60" s="45"/>
    </row>
    <row r="61" spans="1:13" x14ac:dyDescent="0.25">
      <c r="A61" s="36"/>
      <c r="B61" s="494" t="s">
        <v>205</v>
      </c>
      <c r="C61" s="357"/>
      <c r="D61" s="17">
        <v>1901</v>
      </c>
      <c r="E61" s="18">
        <v>0.4829</v>
      </c>
      <c r="F61" s="17">
        <v>395</v>
      </c>
      <c r="G61" s="57">
        <f t="shared" si="3"/>
        <v>0.16459575217374781</v>
      </c>
      <c r="H61" s="17"/>
      <c r="I61" s="17"/>
      <c r="J61" s="19">
        <v>789223600</v>
      </c>
      <c r="K61" s="583"/>
      <c r="L61" s="58">
        <f t="shared" si="2"/>
        <v>4562055.7643999998</v>
      </c>
      <c r="M61" s="45"/>
    </row>
    <row r="62" spans="1:13" x14ac:dyDescent="0.25">
      <c r="A62" s="36"/>
      <c r="B62" s="494" t="s">
        <v>205</v>
      </c>
      <c r="C62" s="357"/>
      <c r="D62" s="17"/>
      <c r="E62" s="18"/>
      <c r="F62" s="17"/>
      <c r="G62" s="57" t="str">
        <f t="shared" si="3"/>
        <v/>
      </c>
      <c r="H62" s="17"/>
      <c r="I62" s="17"/>
      <c r="J62" s="19"/>
      <c r="K62" s="583"/>
      <c r="L62" s="58" t="str">
        <f t="shared" si="2"/>
        <v/>
      </c>
      <c r="M62" s="45"/>
    </row>
    <row r="63" spans="1:13" x14ac:dyDescent="0.25">
      <c r="A63" s="36"/>
      <c r="B63" s="494" t="s">
        <v>205</v>
      </c>
      <c r="C63" s="357"/>
      <c r="D63" s="17"/>
      <c r="E63" s="18"/>
      <c r="F63" s="17"/>
      <c r="G63" s="57" t="str">
        <f t="shared" si="3"/>
        <v/>
      </c>
      <c r="H63" s="17"/>
      <c r="I63" s="17"/>
      <c r="J63" s="583"/>
      <c r="K63" s="583"/>
      <c r="L63" s="58" t="str">
        <f t="shared" si="2"/>
        <v/>
      </c>
      <c r="M63" s="45"/>
    </row>
    <row r="64" spans="1:13" x14ac:dyDescent="0.25">
      <c r="A64" s="36"/>
      <c r="B64" s="494" t="s">
        <v>205</v>
      </c>
      <c r="C64" s="357"/>
      <c r="D64" s="17"/>
      <c r="E64" s="18"/>
      <c r="F64" s="17"/>
      <c r="G64" s="57" t="str">
        <f t="shared" si="3"/>
        <v/>
      </c>
      <c r="H64" s="17"/>
      <c r="I64" s="17"/>
      <c r="J64" s="583"/>
      <c r="K64" s="583"/>
      <c r="L64" s="58" t="str">
        <f t="shared" si="2"/>
        <v/>
      </c>
      <c r="M64" s="45"/>
    </row>
    <row r="65" spans="1:13" x14ac:dyDescent="0.25">
      <c r="A65" s="36"/>
      <c r="B65" s="494" t="s">
        <v>205</v>
      </c>
      <c r="C65" s="357"/>
      <c r="D65" s="17"/>
      <c r="E65" s="18"/>
      <c r="F65" s="17"/>
      <c r="G65" s="57" t="str">
        <f t="shared" si="3"/>
        <v/>
      </c>
      <c r="H65" s="17"/>
      <c r="I65" s="17"/>
      <c r="J65" s="583"/>
      <c r="K65" s="583"/>
      <c r="L65" s="58" t="str">
        <f t="shared" si="2"/>
        <v/>
      </c>
      <c r="M65" s="45"/>
    </row>
    <row r="66" spans="1:13" x14ac:dyDescent="0.25">
      <c r="A66" s="36"/>
      <c r="B66" s="494" t="s">
        <v>205</v>
      </c>
      <c r="C66" s="357"/>
      <c r="D66" s="17"/>
      <c r="E66" s="18"/>
      <c r="F66" s="17"/>
      <c r="G66" s="57" t="str">
        <f t="shared" si="3"/>
        <v/>
      </c>
      <c r="H66" s="17"/>
      <c r="I66" s="17"/>
      <c r="J66" s="583"/>
      <c r="K66" s="583"/>
      <c r="L66" s="58" t="str">
        <f t="shared" si="2"/>
        <v/>
      </c>
      <c r="M66" s="45"/>
    </row>
    <row r="67" spans="1:13" x14ac:dyDescent="0.25">
      <c r="A67" s="36"/>
      <c r="B67" s="494" t="s">
        <v>205</v>
      </c>
      <c r="C67" s="357"/>
      <c r="D67" s="17"/>
      <c r="E67" s="18"/>
      <c r="F67" s="17"/>
      <c r="G67" s="57" t="str">
        <f t="shared" si="3"/>
        <v/>
      </c>
      <c r="H67" s="17"/>
      <c r="I67" s="17"/>
      <c r="J67" s="19"/>
      <c r="K67" s="19"/>
      <c r="L67" s="58" t="str">
        <f t="shared" si="2"/>
        <v/>
      </c>
      <c r="M67" s="45"/>
    </row>
    <row r="68" spans="1:13" x14ac:dyDescent="0.25">
      <c r="A68" s="36"/>
      <c r="B68" s="494" t="s">
        <v>205</v>
      </c>
      <c r="C68" s="357"/>
      <c r="D68" s="17"/>
      <c r="E68" s="18"/>
      <c r="F68" s="17"/>
      <c r="G68" s="57" t="str">
        <f t="shared" si="3"/>
        <v/>
      </c>
      <c r="H68" s="17"/>
      <c r="I68" s="17"/>
      <c r="J68" s="19"/>
      <c r="K68" s="19"/>
      <c r="L68" s="58" t="str">
        <f t="shared" si="2"/>
        <v/>
      </c>
      <c r="M68" s="45"/>
    </row>
    <row r="69" spans="1:13" x14ac:dyDescent="0.25">
      <c r="A69" s="36"/>
      <c r="B69" s="494" t="s">
        <v>205</v>
      </c>
      <c r="C69" s="357"/>
      <c r="D69" s="17"/>
      <c r="E69" s="18"/>
      <c r="F69" s="17"/>
      <c r="G69" s="57" t="str">
        <f t="shared" si="3"/>
        <v/>
      </c>
      <c r="H69" s="17"/>
      <c r="I69" s="17"/>
      <c r="J69" s="19"/>
      <c r="K69" s="19"/>
      <c r="L69" s="58" t="str">
        <f t="shared" si="2"/>
        <v/>
      </c>
      <c r="M69" s="45"/>
    </row>
    <row r="70" spans="1:13" x14ac:dyDescent="0.25">
      <c r="A70" s="36"/>
      <c r="B70" s="494" t="s">
        <v>205</v>
      </c>
      <c r="C70" s="357"/>
      <c r="D70" s="17"/>
      <c r="E70" s="18"/>
      <c r="F70" s="17"/>
      <c r="G70" s="57" t="str">
        <f t="shared" si="3"/>
        <v/>
      </c>
      <c r="H70" s="17"/>
      <c r="I70" s="17"/>
      <c r="J70" s="19"/>
      <c r="K70" s="19"/>
      <c r="L70" s="58" t="str">
        <f t="shared" si="2"/>
        <v/>
      </c>
      <c r="M70" s="45"/>
    </row>
    <row r="71" spans="1:13" x14ac:dyDescent="0.2">
      <c r="A71" s="36"/>
      <c r="B71" s="448"/>
      <c r="C71" s="448" t="s">
        <v>454</v>
      </c>
      <c r="D71" s="544">
        <f>SUM(D61:D70)</f>
        <v>1901</v>
      </c>
      <c r="E71" s="448"/>
      <c r="F71" s="448"/>
      <c r="G71" s="448"/>
      <c r="H71" s="448"/>
      <c r="I71" s="448">
        <f>SUM(I61:I70)</f>
        <v>0</v>
      </c>
      <c r="J71" s="448">
        <f>SUM(J61:J70)</f>
        <v>789223600</v>
      </c>
      <c r="K71" s="448">
        <f>SUM(K61:K70)</f>
        <v>0</v>
      </c>
      <c r="L71" s="448">
        <f>SUM(L61:L70)</f>
        <v>4562055.7643999998</v>
      </c>
      <c r="M71" s="45"/>
    </row>
    <row r="72" spans="1:13" ht="14.4" x14ac:dyDescent="0.25">
      <c r="A72" s="36"/>
      <c r="B72" s="494" t="s">
        <v>208</v>
      </c>
      <c r="C72" s="357"/>
      <c r="D72" s="17"/>
      <c r="E72" s="18"/>
      <c r="F72" s="584"/>
      <c r="G72" s="57" t="str">
        <f t="shared" si="3"/>
        <v/>
      </c>
      <c r="H72" s="17"/>
      <c r="I72" s="17"/>
      <c r="J72" s="583"/>
      <c r="K72" s="583"/>
      <c r="L72" s="58" t="str">
        <f t="shared" si="2"/>
        <v/>
      </c>
      <c r="M72" s="45"/>
    </row>
    <row r="73" spans="1:13" x14ac:dyDescent="0.2">
      <c r="A73" s="36"/>
      <c r="B73" s="494" t="s">
        <v>208</v>
      </c>
      <c r="C73" s="16"/>
      <c r="D73" s="17"/>
      <c r="E73" s="18"/>
      <c r="F73" s="17"/>
      <c r="G73" s="57" t="str">
        <f t="shared" si="3"/>
        <v/>
      </c>
      <c r="H73" s="17"/>
      <c r="I73" s="17"/>
      <c r="J73" s="583"/>
      <c r="K73" s="583"/>
      <c r="L73" s="58" t="str">
        <f t="shared" si="2"/>
        <v/>
      </c>
      <c r="M73" s="45"/>
    </row>
    <row r="74" spans="1:13" x14ac:dyDescent="0.2">
      <c r="A74" s="36"/>
      <c r="B74" s="494" t="s">
        <v>208</v>
      </c>
      <c r="C74" s="16"/>
      <c r="D74" s="17"/>
      <c r="E74" s="18"/>
      <c r="F74" s="17"/>
      <c r="G74" s="57" t="str">
        <f t="shared" si="3"/>
        <v/>
      </c>
      <c r="H74" s="17"/>
      <c r="I74" s="17"/>
      <c r="J74" s="583"/>
      <c r="K74" s="583"/>
      <c r="L74" s="58" t="str">
        <f t="shared" si="2"/>
        <v/>
      </c>
      <c r="M74" s="45"/>
    </row>
    <row r="75" spans="1:13" x14ac:dyDescent="0.2">
      <c r="A75" s="36"/>
      <c r="B75" s="494" t="s">
        <v>208</v>
      </c>
      <c r="C75" s="16"/>
      <c r="D75" s="17"/>
      <c r="E75" s="18"/>
      <c r="F75" s="17"/>
      <c r="G75" s="57" t="str">
        <f t="shared" si="3"/>
        <v/>
      </c>
      <c r="H75" s="17"/>
      <c r="I75" s="17"/>
      <c r="J75" s="583"/>
      <c r="K75" s="583"/>
      <c r="L75" s="58" t="str">
        <f t="shared" si="2"/>
        <v/>
      </c>
      <c r="M75" s="45"/>
    </row>
    <row r="76" spans="1:13" x14ac:dyDescent="0.2">
      <c r="A76" s="36"/>
      <c r="B76" s="494" t="s">
        <v>208</v>
      </c>
      <c r="C76" s="16"/>
      <c r="D76" s="17"/>
      <c r="E76" s="18"/>
      <c r="F76" s="17"/>
      <c r="G76" s="57" t="str">
        <f t="shared" si="3"/>
        <v/>
      </c>
      <c r="H76" s="17"/>
      <c r="I76" s="17"/>
      <c r="J76" s="583"/>
      <c r="K76" s="583"/>
      <c r="L76" s="58" t="str">
        <f t="shared" si="2"/>
        <v/>
      </c>
      <c r="M76" s="45"/>
    </row>
    <row r="77" spans="1:13" x14ac:dyDescent="0.2">
      <c r="A77" s="36"/>
      <c r="B77" s="494" t="s">
        <v>208</v>
      </c>
      <c r="C77" s="16"/>
      <c r="D77" s="17"/>
      <c r="E77" s="18"/>
      <c r="F77" s="17"/>
      <c r="G77" s="57" t="str">
        <f t="shared" si="3"/>
        <v/>
      </c>
      <c r="H77" s="17"/>
      <c r="I77" s="17"/>
      <c r="J77" s="19"/>
      <c r="K77" s="19"/>
      <c r="L77" s="58" t="str">
        <f t="shared" si="2"/>
        <v/>
      </c>
      <c r="M77" s="45"/>
    </row>
    <row r="78" spans="1:13" x14ac:dyDescent="0.2">
      <c r="A78" s="36"/>
      <c r="B78" s="494" t="s">
        <v>208</v>
      </c>
      <c r="C78" s="16"/>
      <c r="D78" s="17"/>
      <c r="E78" s="18"/>
      <c r="F78" s="17"/>
      <c r="G78" s="57" t="str">
        <f t="shared" si="3"/>
        <v/>
      </c>
      <c r="H78" s="17"/>
      <c r="I78" s="17"/>
      <c r="J78" s="19"/>
      <c r="K78" s="19"/>
      <c r="L78" s="58" t="str">
        <f t="shared" si="2"/>
        <v/>
      </c>
      <c r="M78" s="45"/>
    </row>
    <row r="79" spans="1:13" x14ac:dyDescent="0.2">
      <c r="A79" s="36"/>
      <c r="B79" s="494" t="s">
        <v>208</v>
      </c>
      <c r="C79" s="16"/>
      <c r="D79" s="17"/>
      <c r="E79" s="18"/>
      <c r="F79" s="17"/>
      <c r="G79" s="57" t="str">
        <f t="shared" si="3"/>
        <v/>
      </c>
      <c r="H79" s="17"/>
      <c r="I79" s="17"/>
      <c r="J79" s="19"/>
      <c r="K79" s="19"/>
      <c r="L79" s="58" t="str">
        <f t="shared" si="2"/>
        <v/>
      </c>
      <c r="M79" s="45"/>
    </row>
    <row r="80" spans="1:13" x14ac:dyDescent="0.2">
      <c r="A80" s="36"/>
      <c r="B80" s="494" t="s">
        <v>208</v>
      </c>
      <c r="C80" s="16"/>
      <c r="D80" s="17"/>
      <c r="E80" s="18"/>
      <c r="F80" s="17"/>
      <c r="G80" s="57" t="str">
        <f t="shared" si="3"/>
        <v/>
      </c>
      <c r="H80" s="17"/>
      <c r="I80" s="17"/>
      <c r="J80" s="19"/>
      <c r="K80" s="19"/>
      <c r="L80" s="58" t="str">
        <f t="shared" si="2"/>
        <v/>
      </c>
      <c r="M80" s="45"/>
    </row>
    <row r="81" spans="1:13" x14ac:dyDescent="0.2">
      <c r="A81" s="36"/>
      <c r="B81" s="494" t="s">
        <v>208</v>
      </c>
      <c r="C81" s="16"/>
      <c r="D81" s="17"/>
      <c r="E81" s="18"/>
      <c r="F81" s="17"/>
      <c r="G81" s="57" t="str">
        <f t="shared" si="3"/>
        <v/>
      </c>
      <c r="H81" s="17"/>
      <c r="I81" s="17"/>
      <c r="J81" s="19"/>
      <c r="K81" s="19"/>
      <c r="L81" s="58" t="str">
        <f t="shared" si="2"/>
        <v/>
      </c>
      <c r="M81" s="45"/>
    </row>
    <row r="82" spans="1:13" x14ac:dyDescent="0.2">
      <c r="A82" s="36"/>
      <c r="B82" s="448"/>
      <c r="C82" s="448" t="s">
        <v>455</v>
      </c>
      <c r="D82" s="544">
        <f>SUM(D72:D81)</f>
        <v>0</v>
      </c>
      <c r="E82" s="448"/>
      <c r="F82" s="448"/>
      <c r="G82" s="448"/>
      <c r="H82" s="448"/>
      <c r="I82" s="448">
        <f>SUM(I72:I81)</f>
        <v>0</v>
      </c>
      <c r="J82" s="448">
        <f>SUM(J72:J81)</f>
        <v>0</v>
      </c>
      <c r="K82" s="448">
        <f>SUM(K72:K81)</f>
        <v>0</v>
      </c>
      <c r="L82" s="448">
        <f>SUM(L72:L81)</f>
        <v>0</v>
      </c>
      <c r="M82" s="45"/>
    </row>
    <row r="83" spans="1:13" x14ac:dyDescent="0.2">
      <c r="A83" s="36"/>
      <c r="B83" s="15"/>
      <c r="C83" s="16"/>
      <c r="D83" s="17"/>
      <c r="E83" s="18"/>
      <c r="F83" s="17"/>
      <c r="G83" s="57" t="str">
        <f t="shared" si="3"/>
        <v/>
      </c>
      <c r="H83" s="17"/>
      <c r="I83" s="17"/>
      <c r="J83" s="19"/>
      <c r="K83" s="19"/>
      <c r="L83" s="58" t="str">
        <f t="shared" si="2"/>
        <v/>
      </c>
      <c r="M83" s="45"/>
    </row>
    <row r="84" spans="1:13" x14ac:dyDescent="0.25">
      <c r="A84" s="36"/>
      <c r="B84" s="59" t="s">
        <v>210</v>
      </c>
      <c r="C84" s="60"/>
      <c r="D84" s="331">
        <f>D34+D60+D71+D82</f>
        <v>18613</v>
      </c>
      <c r="E84" s="38"/>
      <c r="F84" s="40"/>
      <c r="G84" s="40" t="s">
        <v>211</v>
      </c>
      <c r="H84" s="38"/>
      <c r="I84" s="38"/>
      <c r="J84" s="331">
        <f>J34+J60+J71+J82</f>
        <v>3411530700</v>
      </c>
      <c r="K84" s="62" t="s">
        <v>212</v>
      </c>
      <c r="L84" s="331">
        <f>L34+L60+L71+L82</f>
        <v>30104219.586838</v>
      </c>
      <c r="M84" s="45"/>
    </row>
    <row r="85" spans="1:13" x14ac:dyDescent="0.25">
      <c r="A85" s="63"/>
      <c r="B85" s="64"/>
      <c r="C85" s="64"/>
      <c r="D85" s="65"/>
      <c r="E85" s="65"/>
      <c r="F85" s="66"/>
      <c r="G85" s="65"/>
      <c r="H85" s="65"/>
      <c r="I85" s="65"/>
      <c r="J85" s="65"/>
      <c r="K85" s="67"/>
      <c r="L85" s="68"/>
      <c r="M85" s="69"/>
    </row>
    <row r="86" spans="1:13" ht="12" customHeight="1" x14ac:dyDescent="0.3">
      <c r="A86" s="30"/>
      <c r="B86" s="70"/>
      <c r="C86" s="70"/>
      <c r="D86" s="32"/>
      <c r="E86" s="32"/>
      <c r="F86" s="32"/>
      <c r="G86" s="32"/>
      <c r="H86" s="32"/>
      <c r="I86" s="32"/>
      <c r="J86" s="32"/>
      <c r="K86" s="33"/>
      <c r="L86" s="33"/>
      <c r="M86" s="71"/>
    </row>
    <row r="87" spans="1:13" ht="14.25" customHeight="1" x14ac:dyDescent="0.3">
      <c r="A87" s="36"/>
      <c r="B87" s="768" t="str">
        <f>B2</f>
        <v>Lismore City Council</v>
      </c>
      <c r="C87" s="769"/>
      <c r="D87" s="769"/>
      <c r="E87" s="769"/>
      <c r="F87" s="770"/>
      <c r="G87" s="42"/>
      <c r="H87" s="42"/>
      <c r="I87" s="42"/>
      <c r="J87" s="38"/>
      <c r="K87" s="39"/>
      <c r="L87" s="40"/>
      <c r="M87" s="48"/>
    </row>
    <row r="88" spans="1:13" ht="24" customHeight="1" x14ac:dyDescent="0.4">
      <c r="A88" s="36"/>
      <c r="B88" s="72"/>
      <c r="C88" s="775" t="s">
        <v>25</v>
      </c>
      <c r="D88" s="775"/>
      <c r="E88" s="775"/>
      <c r="F88" s="775"/>
      <c r="G88" s="775"/>
      <c r="H88" s="775"/>
      <c r="I88" s="775"/>
      <c r="J88" s="775"/>
      <c r="K88" s="775"/>
      <c r="L88" s="76"/>
      <c r="M88" s="46"/>
    </row>
    <row r="89" spans="1:13" ht="3.75" customHeight="1" x14ac:dyDescent="0.3">
      <c r="A89" s="36"/>
      <c r="B89" s="73"/>
      <c r="C89" s="73"/>
      <c r="D89" s="74"/>
      <c r="E89" s="74"/>
      <c r="F89" s="74"/>
      <c r="G89" s="74"/>
      <c r="H89" s="74"/>
      <c r="I89" s="74"/>
      <c r="J89" s="75"/>
      <c r="K89" s="76"/>
      <c r="L89" s="76"/>
      <c r="M89" s="46"/>
    </row>
    <row r="90" spans="1:13" ht="9" customHeight="1" x14ac:dyDescent="0.25">
      <c r="A90" s="36"/>
      <c r="B90" s="47"/>
      <c r="C90" s="47"/>
      <c r="D90" s="42"/>
      <c r="E90" s="42"/>
      <c r="F90" s="42"/>
      <c r="G90" s="42"/>
      <c r="H90" s="42"/>
      <c r="I90" s="42"/>
      <c r="J90" s="38"/>
      <c r="K90" s="39"/>
      <c r="L90" s="39"/>
      <c r="M90" s="48"/>
    </row>
    <row r="91" spans="1:13" ht="54" customHeight="1" x14ac:dyDescent="0.2">
      <c r="A91" s="51"/>
      <c r="B91" s="52" t="s">
        <v>188</v>
      </c>
      <c r="C91" s="54" t="s">
        <v>440</v>
      </c>
      <c r="D91" s="553" t="s">
        <v>242</v>
      </c>
      <c r="E91" s="77" t="s">
        <v>190</v>
      </c>
      <c r="F91" s="52" t="s">
        <v>23</v>
      </c>
      <c r="G91" s="77" t="s">
        <v>191</v>
      </c>
      <c r="H91" s="53" t="s">
        <v>24</v>
      </c>
      <c r="I91" s="77" t="s">
        <v>192</v>
      </c>
      <c r="J91" s="54" t="s">
        <v>30</v>
      </c>
      <c r="K91" s="55" t="s">
        <v>194</v>
      </c>
      <c r="L91" s="365" t="s">
        <v>354</v>
      </c>
      <c r="M91" s="56"/>
    </row>
    <row r="92" spans="1:13" s="173" customFormat="1" ht="24.75" customHeight="1" x14ac:dyDescent="0.2">
      <c r="A92" s="166"/>
      <c r="B92" s="494" t="s">
        <v>207</v>
      </c>
      <c r="C92" s="16"/>
      <c r="D92" s="168"/>
      <c r="E92" s="167"/>
      <c r="F92" s="168"/>
      <c r="G92" s="169" t="str">
        <f>IF(F92="","",D92*F92/L92)</f>
        <v/>
      </c>
      <c r="H92" s="168"/>
      <c r="I92" s="168"/>
      <c r="J92" s="170"/>
      <c r="K92" s="170"/>
      <c r="L92" s="171" t="str">
        <f>IF(D92="","",IF(F92&lt;&gt;"",F92*D92+J92*(E92/100),(J92-K92)*(E92/100)+H92*I92))</f>
        <v/>
      </c>
      <c r="M92" s="172"/>
    </row>
    <row r="93" spans="1:13" s="173" customFormat="1" ht="23.25" customHeight="1" x14ac:dyDescent="0.2">
      <c r="A93" s="166"/>
      <c r="B93" s="494" t="s">
        <v>207</v>
      </c>
      <c r="C93" s="16"/>
      <c r="D93" s="168"/>
      <c r="E93" s="167"/>
      <c r="F93" s="168"/>
      <c r="G93" s="169" t="str">
        <f t="shared" ref="G93:G141" si="4">IF(F93="","",D93*F93/L93)</f>
        <v/>
      </c>
      <c r="H93" s="168"/>
      <c r="I93" s="168"/>
      <c r="J93" s="170"/>
      <c r="K93" s="170"/>
      <c r="L93" s="171" t="str">
        <f t="shared" ref="L93:L141" si="5">IF(D93="","",IF(F93&lt;&gt;"",F93*D93+J93*(E93/100),(J93-K93)*(E93/100)+H93*I93))</f>
        <v/>
      </c>
      <c r="M93" s="172"/>
    </row>
    <row r="94" spans="1:13" s="173" customFormat="1" ht="21.75" customHeight="1" x14ac:dyDescent="0.2">
      <c r="A94" s="166"/>
      <c r="B94" s="494" t="s">
        <v>207</v>
      </c>
      <c r="C94" s="16"/>
      <c r="D94" s="168"/>
      <c r="E94" s="167"/>
      <c r="F94" s="168"/>
      <c r="G94" s="169" t="str">
        <f t="shared" si="4"/>
        <v/>
      </c>
      <c r="H94" s="168"/>
      <c r="I94" s="168"/>
      <c r="J94" s="170"/>
      <c r="K94" s="170"/>
      <c r="L94" s="171" t="str">
        <f t="shared" si="5"/>
        <v/>
      </c>
      <c r="M94" s="172"/>
    </row>
    <row r="95" spans="1:13" s="173" customFormat="1" ht="23.25" customHeight="1" x14ac:dyDescent="0.2">
      <c r="A95" s="166"/>
      <c r="B95" s="494" t="s">
        <v>207</v>
      </c>
      <c r="C95" s="16"/>
      <c r="D95" s="168"/>
      <c r="E95" s="167"/>
      <c r="F95" s="168"/>
      <c r="G95" s="169" t="str">
        <f t="shared" si="4"/>
        <v/>
      </c>
      <c r="H95" s="168"/>
      <c r="I95" s="168"/>
      <c r="J95" s="170"/>
      <c r="K95" s="170"/>
      <c r="L95" s="171" t="str">
        <f t="shared" si="5"/>
        <v/>
      </c>
      <c r="M95" s="172"/>
    </row>
    <row r="96" spans="1:13" s="173" customFormat="1" ht="23.25" customHeight="1" x14ac:dyDescent="0.2">
      <c r="A96" s="166"/>
      <c r="B96" s="494" t="s">
        <v>207</v>
      </c>
      <c r="C96" s="16"/>
      <c r="D96" s="168"/>
      <c r="E96" s="167"/>
      <c r="F96" s="168"/>
      <c r="G96" s="169" t="str">
        <f t="shared" si="4"/>
        <v/>
      </c>
      <c r="H96" s="168"/>
      <c r="I96" s="168"/>
      <c r="J96" s="170"/>
      <c r="K96" s="170"/>
      <c r="L96" s="171" t="str">
        <f t="shared" si="5"/>
        <v/>
      </c>
      <c r="M96" s="172"/>
    </row>
    <row r="97" spans="1:13" s="173" customFormat="1" ht="23.25" customHeight="1" x14ac:dyDescent="0.2">
      <c r="A97" s="166"/>
      <c r="B97" s="494" t="s">
        <v>207</v>
      </c>
      <c r="C97" s="16"/>
      <c r="D97" s="168"/>
      <c r="E97" s="167"/>
      <c r="F97" s="168"/>
      <c r="G97" s="169" t="str">
        <f t="shared" si="4"/>
        <v/>
      </c>
      <c r="H97" s="168"/>
      <c r="I97" s="168"/>
      <c r="J97" s="170"/>
      <c r="K97" s="170"/>
      <c r="L97" s="171" t="str">
        <f t="shared" si="5"/>
        <v/>
      </c>
      <c r="M97" s="172"/>
    </row>
    <row r="98" spans="1:13" s="173" customFormat="1" ht="23.25" customHeight="1" x14ac:dyDescent="0.2">
      <c r="A98" s="166"/>
      <c r="B98" s="494" t="s">
        <v>207</v>
      </c>
      <c r="C98" s="16"/>
      <c r="D98" s="168"/>
      <c r="E98" s="167"/>
      <c r="F98" s="168"/>
      <c r="G98" s="169" t="str">
        <f t="shared" si="4"/>
        <v/>
      </c>
      <c r="H98" s="168"/>
      <c r="I98" s="168"/>
      <c r="J98" s="170"/>
      <c r="K98" s="170"/>
      <c r="L98" s="171" t="str">
        <f t="shared" si="5"/>
        <v/>
      </c>
      <c r="M98" s="172"/>
    </row>
    <row r="99" spans="1:13" s="173" customFormat="1" ht="23.25" customHeight="1" x14ac:dyDescent="0.2">
      <c r="A99" s="166"/>
      <c r="B99" s="494" t="s">
        <v>207</v>
      </c>
      <c r="C99" s="16"/>
      <c r="D99" s="168"/>
      <c r="E99" s="167"/>
      <c r="F99" s="168"/>
      <c r="G99" s="169" t="str">
        <f t="shared" si="4"/>
        <v/>
      </c>
      <c r="H99" s="168"/>
      <c r="I99" s="168"/>
      <c r="J99" s="170"/>
      <c r="K99" s="170"/>
      <c r="L99" s="171" t="str">
        <f t="shared" si="5"/>
        <v/>
      </c>
      <c r="M99" s="172"/>
    </row>
    <row r="100" spans="1:13" s="173" customFormat="1" ht="23.25" customHeight="1" x14ac:dyDescent="0.2">
      <c r="A100" s="166"/>
      <c r="B100" s="494" t="s">
        <v>207</v>
      </c>
      <c r="C100" s="16"/>
      <c r="D100" s="168"/>
      <c r="E100" s="167"/>
      <c r="F100" s="168"/>
      <c r="G100" s="169" t="str">
        <f t="shared" si="4"/>
        <v/>
      </c>
      <c r="H100" s="168"/>
      <c r="I100" s="168"/>
      <c r="J100" s="170"/>
      <c r="K100" s="170"/>
      <c r="L100" s="171" t="str">
        <f t="shared" si="5"/>
        <v/>
      </c>
      <c r="M100" s="172"/>
    </row>
    <row r="101" spans="1:13" s="173" customFormat="1" ht="23.25" customHeight="1" x14ac:dyDescent="0.2">
      <c r="A101" s="166"/>
      <c r="B101" s="494" t="s">
        <v>207</v>
      </c>
      <c r="C101" s="16"/>
      <c r="D101" s="168"/>
      <c r="E101" s="167"/>
      <c r="F101" s="168"/>
      <c r="G101" s="169" t="str">
        <f t="shared" si="4"/>
        <v/>
      </c>
      <c r="H101" s="168"/>
      <c r="I101" s="168"/>
      <c r="J101" s="170"/>
      <c r="K101" s="170"/>
      <c r="L101" s="171" t="str">
        <f t="shared" si="5"/>
        <v/>
      </c>
      <c r="M101" s="172"/>
    </row>
    <row r="102" spans="1:13" s="173" customFormat="1" ht="24" customHeight="1" x14ac:dyDescent="0.2">
      <c r="A102" s="166"/>
      <c r="B102" s="494" t="s">
        <v>209</v>
      </c>
      <c r="C102" s="16"/>
      <c r="D102" s="168"/>
      <c r="E102" s="167"/>
      <c r="F102" s="168"/>
      <c r="G102" s="169" t="str">
        <f t="shared" si="4"/>
        <v/>
      </c>
      <c r="H102" s="168"/>
      <c r="I102" s="168"/>
      <c r="J102" s="170"/>
      <c r="K102" s="170"/>
      <c r="L102" s="171" t="str">
        <f t="shared" si="5"/>
        <v/>
      </c>
      <c r="M102" s="172"/>
    </row>
    <row r="103" spans="1:13" s="173" customFormat="1" ht="20.25" customHeight="1" x14ac:dyDescent="0.2">
      <c r="A103" s="166"/>
      <c r="B103" s="494" t="s">
        <v>209</v>
      </c>
      <c r="C103" s="16"/>
      <c r="D103" s="168"/>
      <c r="E103" s="167"/>
      <c r="F103" s="168"/>
      <c r="G103" s="169" t="str">
        <f t="shared" si="4"/>
        <v/>
      </c>
      <c r="H103" s="168"/>
      <c r="I103" s="168"/>
      <c r="J103" s="170"/>
      <c r="K103" s="170"/>
      <c r="L103" s="171" t="str">
        <f t="shared" si="5"/>
        <v/>
      </c>
      <c r="M103" s="172"/>
    </row>
    <row r="104" spans="1:13" s="173" customFormat="1" ht="20.25" customHeight="1" x14ac:dyDescent="0.2">
      <c r="A104" s="166"/>
      <c r="B104" s="494" t="s">
        <v>209</v>
      </c>
      <c r="C104" s="16"/>
      <c r="D104" s="168"/>
      <c r="E104" s="167"/>
      <c r="F104" s="168"/>
      <c r="G104" s="169" t="str">
        <f t="shared" si="4"/>
        <v/>
      </c>
      <c r="H104" s="168"/>
      <c r="I104" s="168"/>
      <c r="J104" s="170"/>
      <c r="K104" s="170"/>
      <c r="L104" s="171" t="str">
        <f t="shared" si="5"/>
        <v/>
      </c>
      <c r="M104" s="172"/>
    </row>
    <row r="105" spans="1:13" s="173" customFormat="1" ht="24" customHeight="1" x14ac:dyDescent="0.2">
      <c r="A105" s="166"/>
      <c r="B105" s="494" t="s">
        <v>209</v>
      </c>
      <c r="C105" s="16"/>
      <c r="D105" s="168"/>
      <c r="E105" s="167"/>
      <c r="F105" s="168"/>
      <c r="G105" s="169" t="str">
        <f t="shared" si="4"/>
        <v/>
      </c>
      <c r="H105" s="168"/>
      <c r="I105" s="168"/>
      <c r="J105" s="170"/>
      <c r="K105" s="170"/>
      <c r="L105" s="171" t="str">
        <f t="shared" si="5"/>
        <v/>
      </c>
      <c r="M105" s="172"/>
    </row>
    <row r="106" spans="1:13" s="173" customFormat="1" ht="24" customHeight="1" x14ac:dyDescent="0.2">
      <c r="A106" s="166"/>
      <c r="B106" s="494" t="s">
        <v>209</v>
      </c>
      <c r="C106" s="16"/>
      <c r="D106" s="168"/>
      <c r="E106" s="167"/>
      <c r="F106" s="168"/>
      <c r="G106" s="169" t="str">
        <f t="shared" si="4"/>
        <v/>
      </c>
      <c r="H106" s="168"/>
      <c r="I106" s="168"/>
      <c r="J106" s="170"/>
      <c r="K106" s="170"/>
      <c r="L106" s="171" t="str">
        <f t="shared" si="5"/>
        <v/>
      </c>
      <c r="M106" s="172"/>
    </row>
    <row r="107" spans="1:13" s="173" customFormat="1" ht="24" customHeight="1" x14ac:dyDescent="0.2">
      <c r="A107" s="166"/>
      <c r="B107" s="494" t="s">
        <v>209</v>
      </c>
      <c r="C107" s="16"/>
      <c r="D107" s="168"/>
      <c r="E107" s="167"/>
      <c r="F107" s="168"/>
      <c r="G107" s="169" t="str">
        <f t="shared" si="4"/>
        <v/>
      </c>
      <c r="H107" s="168"/>
      <c r="I107" s="168"/>
      <c r="J107" s="170"/>
      <c r="K107" s="170"/>
      <c r="L107" s="171" t="str">
        <f t="shared" si="5"/>
        <v/>
      </c>
      <c r="M107" s="172"/>
    </row>
    <row r="108" spans="1:13" s="173" customFormat="1" ht="24" customHeight="1" x14ac:dyDescent="0.2">
      <c r="A108" s="166"/>
      <c r="B108" s="494" t="s">
        <v>209</v>
      </c>
      <c r="C108" s="16"/>
      <c r="D108" s="168"/>
      <c r="E108" s="167"/>
      <c r="F108" s="168"/>
      <c r="G108" s="169" t="str">
        <f t="shared" si="4"/>
        <v/>
      </c>
      <c r="H108" s="168"/>
      <c r="I108" s="168"/>
      <c r="J108" s="170"/>
      <c r="K108" s="170"/>
      <c r="L108" s="171" t="str">
        <f t="shared" si="5"/>
        <v/>
      </c>
      <c r="M108" s="172"/>
    </row>
    <row r="109" spans="1:13" s="173" customFormat="1" ht="24" customHeight="1" x14ac:dyDescent="0.2">
      <c r="A109" s="166"/>
      <c r="B109" s="494" t="s">
        <v>209</v>
      </c>
      <c r="C109" s="16"/>
      <c r="D109" s="168"/>
      <c r="E109" s="167"/>
      <c r="F109" s="168"/>
      <c r="G109" s="169" t="str">
        <f t="shared" si="4"/>
        <v/>
      </c>
      <c r="H109" s="168"/>
      <c r="I109" s="168"/>
      <c r="J109" s="170"/>
      <c r="K109" s="170"/>
      <c r="L109" s="171" t="str">
        <f t="shared" si="5"/>
        <v/>
      </c>
      <c r="M109" s="172"/>
    </row>
    <row r="110" spans="1:13" s="173" customFormat="1" ht="24" customHeight="1" x14ac:dyDescent="0.2">
      <c r="A110" s="166"/>
      <c r="B110" s="494" t="s">
        <v>209</v>
      </c>
      <c r="C110" s="16"/>
      <c r="D110" s="168"/>
      <c r="E110" s="167"/>
      <c r="F110" s="168"/>
      <c r="G110" s="169" t="str">
        <f t="shared" si="4"/>
        <v/>
      </c>
      <c r="H110" s="168"/>
      <c r="I110" s="168"/>
      <c r="J110" s="170"/>
      <c r="K110" s="170"/>
      <c r="L110" s="171" t="str">
        <f t="shared" si="5"/>
        <v/>
      </c>
      <c r="M110" s="172"/>
    </row>
    <row r="111" spans="1:13" s="173" customFormat="1" ht="24" customHeight="1" x14ac:dyDescent="0.2">
      <c r="A111" s="166"/>
      <c r="B111" s="494" t="s">
        <v>209</v>
      </c>
      <c r="C111" s="16"/>
      <c r="D111" s="168"/>
      <c r="E111" s="167"/>
      <c r="F111" s="168"/>
      <c r="G111" s="169" t="str">
        <f t="shared" si="4"/>
        <v/>
      </c>
      <c r="H111" s="168"/>
      <c r="I111" s="168"/>
      <c r="J111" s="170"/>
      <c r="K111" s="170"/>
      <c r="L111" s="171" t="str">
        <f t="shared" si="5"/>
        <v/>
      </c>
      <c r="M111" s="172"/>
    </row>
    <row r="112" spans="1:13" s="173" customFormat="1" ht="24" customHeight="1" x14ac:dyDescent="0.2">
      <c r="A112" s="166"/>
      <c r="B112" s="494" t="s">
        <v>209</v>
      </c>
      <c r="C112" s="16"/>
      <c r="D112" s="168"/>
      <c r="E112" s="167"/>
      <c r="F112" s="168"/>
      <c r="G112" s="169" t="str">
        <f t="shared" si="4"/>
        <v/>
      </c>
      <c r="H112" s="168"/>
      <c r="I112" s="168"/>
      <c r="J112" s="170"/>
      <c r="K112" s="170"/>
      <c r="L112" s="171" t="str">
        <f t="shared" si="5"/>
        <v/>
      </c>
      <c r="M112" s="172"/>
    </row>
    <row r="113" spans="1:13" s="173" customFormat="1" ht="24" customHeight="1" x14ac:dyDescent="0.2">
      <c r="A113" s="166"/>
      <c r="B113" s="494" t="s">
        <v>209</v>
      </c>
      <c r="C113" s="16"/>
      <c r="D113" s="168"/>
      <c r="E113" s="167"/>
      <c r="F113" s="168"/>
      <c r="G113" s="169" t="str">
        <f t="shared" si="4"/>
        <v/>
      </c>
      <c r="H113" s="168"/>
      <c r="I113" s="168"/>
      <c r="J113" s="170"/>
      <c r="K113" s="170"/>
      <c r="L113" s="171" t="str">
        <f t="shared" si="5"/>
        <v/>
      </c>
      <c r="M113" s="172"/>
    </row>
    <row r="114" spans="1:13" s="173" customFormat="1" ht="24" customHeight="1" x14ac:dyDescent="0.2">
      <c r="A114" s="166"/>
      <c r="B114" s="494" t="s">
        <v>209</v>
      </c>
      <c r="C114" s="16"/>
      <c r="D114" s="168"/>
      <c r="E114" s="167"/>
      <c r="F114" s="168"/>
      <c r="G114" s="169" t="str">
        <f t="shared" si="4"/>
        <v/>
      </c>
      <c r="H114" s="168"/>
      <c r="I114" s="168"/>
      <c r="J114" s="170"/>
      <c r="K114" s="170"/>
      <c r="L114" s="171" t="str">
        <f t="shared" si="5"/>
        <v/>
      </c>
      <c r="M114" s="172"/>
    </row>
    <row r="115" spans="1:13" s="173" customFormat="1" ht="24" customHeight="1" x14ac:dyDescent="0.2">
      <c r="A115" s="166"/>
      <c r="B115" s="494" t="s">
        <v>209</v>
      </c>
      <c r="C115" s="16"/>
      <c r="D115" s="168"/>
      <c r="E115" s="167"/>
      <c r="F115" s="168"/>
      <c r="G115" s="169" t="str">
        <f t="shared" si="4"/>
        <v/>
      </c>
      <c r="H115" s="168"/>
      <c r="I115" s="168"/>
      <c r="J115" s="170"/>
      <c r="K115" s="170"/>
      <c r="L115" s="171" t="str">
        <f t="shared" si="5"/>
        <v/>
      </c>
      <c r="M115" s="172"/>
    </row>
    <row r="116" spans="1:13" s="173" customFormat="1" ht="24" customHeight="1" x14ac:dyDescent="0.2">
      <c r="A116" s="166"/>
      <c r="B116" s="494" t="s">
        <v>209</v>
      </c>
      <c r="C116" s="16"/>
      <c r="D116" s="168"/>
      <c r="E116" s="167"/>
      <c r="F116" s="168"/>
      <c r="G116" s="169" t="str">
        <f t="shared" si="4"/>
        <v/>
      </c>
      <c r="H116" s="168"/>
      <c r="I116" s="168"/>
      <c r="J116" s="170"/>
      <c r="K116" s="170"/>
      <c r="L116" s="171" t="str">
        <f t="shared" si="5"/>
        <v/>
      </c>
      <c r="M116" s="172"/>
    </row>
    <row r="117" spans="1:13" s="173" customFormat="1" ht="24" customHeight="1" x14ac:dyDescent="0.2">
      <c r="A117" s="166"/>
      <c r="B117" s="494" t="s">
        <v>209</v>
      </c>
      <c r="C117" s="16"/>
      <c r="D117" s="168"/>
      <c r="E117" s="167"/>
      <c r="F117" s="168"/>
      <c r="G117" s="169" t="str">
        <f t="shared" si="4"/>
        <v/>
      </c>
      <c r="H117" s="168"/>
      <c r="I117" s="168"/>
      <c r="J117" s="170"/>
      <c r="K117" s="170"/>
      <c r="L117" s="171" t="str">
        <f t="shared" si="5"/>
        <v/>
      </c>
      <c r="M117" s="172"/>
    </row>
    <row r="118" spans="1:13" s="173" customFormat="1" ht="24" customHeight="1" x14ac:dyDescent="0.2">
      <c r="A118" s="166"/>
      <c r="B118" s="494" t="s">
        <v>209</v>
      </c>
      <c r="C118" s="16"/>
      <c r="D118" s="168"/>
      <c r="E118" s="167"/>
      <c r="F118" s="168"/>
      <c r="G118" s="169" t="str">
        <f t="shared" si="4"/>
        <v/>
      </c>
      <c r="H118" s="168"/>
      <c r="I118" s="168"/>
      <c r="J118" s="170"/>
      <c r="K118" s="170"/>
      <c r="L118" s="171" t="str">
        <f t="shared" si="5"/>
        <v/>
      </c>
      <c r="M118" s="172"/>
    </row>
    <row r="119" spans="1:13" s="173" customFormat="1" ht="24" customHeight="1" x14ac:dyDescent="0.2">
      <c r="A119" s="166"/>
      <c r="B119" s="494" t="s">
        <v>209</v>
      </c>
      <c r="C119" s="16"/>
      <c r="D119" s="168"/>
      <c r="E119" s="167"/>
      <c r="F119" s="168"/>
      <c r="G119" s="169" t="str">
        <f t="shared" si="4"/>
        <v/>
      </c>
      <c r="H119" s="168"/>
      <c r="I119" s="168"/>
      <c r="J119" s="170"/>
      <c r="K119" s="170"/>
      <c r="L119" s="171" t="str">
        <f t="shared" si="5"/>
        <v/>
      </c>
      <c r="M119" s="172"/>
    </row>
    <row r="120" spans="1:13" s="173" customFormat="1" ht="24" customHeight="1" x14ac:dyDescent="0.2">
      <c r="A120" s="166"/>
      <c r="B120" s="494" t="s">
        <v>209</v>
      </c>
      <c r="C120" s="16"/>
      <c r="D120" s="168"/>
      <c r="E120" s="167"/>
      <c r="F120" s="168"/>
      <c r="G120" s="169" t="str">
        <f t="shared" si="4"/>
        <v/>
      </c>
      <c r="H120" s="168"/>
      <c r="I120" s="168"/>
      <c r="J120" s="170"/>
      <c r="K120" s="170"/>
      <c r="L120" s="171" t="str">
        <f t="shared" si="5"/>
        <v/>
      </c>
      <c r="M120" s="172"/>
    </row>
    <row r="121" spans="1:13" s="173" customFormat="1" ht="24" customHeight="1" x14ac:dyDescent="0.2">
      <c r="A121" s="166"/>
      <c r="B121" s="494" t="s">
        <v>209</v>
      </c>
      <c r="C121" s="16"/>
      <c r="D121" s="168"/>
      <c r="E121" s="167"/>
      <c r="F121" s="168"/>
      <c r="G121" s="169" t="str">
        <f t="shared" si="4"/>
        <v/>
      </c>
      <c r="H121" s="168"/>
      <c r="I121" s="168"/>
      <c r="J121" s="170"/>
      <c r="K121" s="170"/>
      <c r="L121" s="171" t="str">
        <f t="shared" si="5"/>
        <v/>
      </c>
      <c r="M121" s="172"/>
    </row>
    <row r="122" spans="1:13" s="173" customFormat="1" ht="20.25" customHeight="1" x14ac:dyDescent="0.2">
      <c r="A122" s="166"/>
      <c r="B122" s="494" t="s">
        <v>205</v>
      </c>
      <c r="C122" s="16"/>
      <c r="D122" s="168"/>
      <c r="E122" s="167"/>
      <c r="F122" s="168"/>
      <c r="G122" s="169" t="str">
        <f t="shared" si="4"/>
        <v/>
      </c>
      <c r="H122" s="168"/>
      <c r="I122" s="168"/>
      <c r="J122" s="170"/>
      <c r="K122" s="170"/>
      <c r="L122" s="171" t="str">
        <f t="shared" si="5"/>
        <v/>
      </c>
      <c r="M122" s="172"/>
    </row>
    <row r="123" spans="1:13" s="173" customFormat="1" ht="21.75" customHeight="1" x14ac:dyDescent="0.2">
      <c r="A123" s="166"/>
      <c r="B123" s="494" t="s">
        <v>205</v>
      </c>
      <c r="C123" s="16"/>
      <c r="D123" s="168"/>
      <c r="E123" s="167"/>
      <c r="F123" s="168"/>
      <c r="G123" s="169" t="str">
        <f t="shared" si="4"/>
        <v/>
      </c>
      <c r="H123" s="168"/>
      <c r="I123" s="168"/>
      <c r="J123" s="170"/>
      <c r="K123" s="170"/>
      <c r="L123" s="171" t="str">
        <f t="shared" si="5"/>
        <v/>
      </c>
      <c r="M123" s="172"/>
    </row>
    <row r="124" spans="1:13" s="173" customFormat="1" ht="18" customHeight="1" x14ac:dyDescent="0.2">
      <c r="A124" s="166"/>
      <c r="B124" s="494" t="s">
        <v>205</v>
      </c>
      <c r="C124" s="16"/>
      <c r="D124" s="168"/>
      <c r="E124" s="167"/>
      <c r="F124" s="168"/>
      <c r="G124" s="169" t="str">
        <f t="shared" si="4"/>
        <v/>
      </c>
      <c r="H124" s="168"/>
      <c r="I124" s="168"/>
      <c r="J124" s="170"/>
      <c r="K124" s="170"/>
      <c r="L124" s="171" t="str">
        <f t="shared" si="5"/>
        <v/>
      </c>
      <c r="M124" s="172"/>
    </row>
    <row r="125" spans="1:13" s="173" customFormat="1" ht="18" customHeight="1" x14ac:dyDescent="0.2">
      <c r="A125" s="166"/>
      <c r="B125" s="494" t="s">
        <v>205</v>
      </c>
      <c r="C125" s="16"/>
      <c r="D125" s="168"/>
      <c r="E125" s="167"/>
      <c r="F125" s="168"/>
      <c r="G125" s="169" t="str">
        <f t="shared" si="4"/>
        <v/>
      </c>
      <c r="H125" s="168"/>
      <c r="I125" s="168"/>
      <c r="J125" s="170"/>
      <c r="K125" s="170"/>
      <c r="L125" s="171" t="str">
        <f t="shared" si="5"/>
        <v/>
      </c>
      <c r="M125" s="172"/>
    </row>
    <row r="126" spans="1:13" s="173" customFormat="1" ht="18" customHeight="1" x14ac:dyDescent="0.2">
      <c r="A126" s="166"/>
      <c r="B126" s="494" t="s">
        <v>205</v>
      </c>
      <c r="C126" s="16"/>
      <c r="D126" s="168"/>
      <c r="E126" s="167"/>
      <c r="F126" s="168"/>
      <c r="G126" s="169" t="str">
        <f t="shared" si="4"/>
        <v/>
      </c>
      <c r="H126" s="168"/>
      <c r="I126" s="168"/>
      <c r="J126" s="170"/>
      <c r="K126" s="170"/>
      <c r="L126" s="171" t="str">
        <f t="shared" si="5"/>
        <v/>
      </c>
      <c r="M126" s="172"/>
    </row>
    <row r="127" spans="1:13" s="173" customFormat="1" ht="18" customHeight="1" x14ac:dyDescent="0.2">
      <c r="A127" s="166"/>
      <c r="B127" s="494" t="s">
        <v>205</v>
      </c>
      <c r="C127" s="16"/>
      <c r="D127" s="168"/>
      <c r="E127" s="167"/>
      <c r="F127" s="168"/>
      <c r="G127" s="169" t="str">
        <f t="shared" si="4"/>
        <v/>
      </c>
      <c r="H127" s="168"/>
      <c r="I127" s="168"/>
      <c r="J127" s="170"/>
      <c r="K127" s="170"/>
      <c r="L127" s="171" t="str">
        <f t="shared" si="5"/>
        <v/>
      </c>
      <c r="M127" s="172"/>
    </row>
    <row r="128" spans="1:13" s="173" customFormat="1" ht="18" customHeight="1" x14ac:dyDescent="0.2">
      <c r="A128" s="166"/>
      <c r="B128" s="494" t="s">
        <v>205</v>
      </c>
      <c r="C128" s="16"/>
      <c r="D128" s="168"/>
      <c r="E128" s="167"/>
      <c r="F128" s="168"/>
      <c r="G128" s="169" t="str">
        <f t="shared" si="4"/>
        <v/>
      </c>
      <c r="H128" s="168"/>
      <c r="I128" s="168"/>
      <c r="J128" s="170"/>
      <c r="K128" s="170"/>
      <c r="L128" s="171" t="str">
        <f t="shared" si="5"/>
        <v/>
      </c>
      <c r="M128" s="172"/>
    </row>
    <row r="129" spans="1:13" s="173" customFormat="1" ht="18" customHeight="1" x14ac:dyDescent="0.2">
      <c r="A129" s="166"/>
      <c r="B129" s="494" t="s">
        <v>205</v>
      </c>
      <c r="C129" s="16"/>
      <c r="D129" s="168"/>
      <c r="E129" s="167"/>
      <c r="F129" s="168"/>
      <c r="G129" s="169" t="str">
        <f t="shared" si="4"/>
        <v/>
      </c>
      <c r="H129" s="168"/>
      <c r="I129" s="168"/>
      <c r="J129" s="170"/>
      <c r="K129" s="170"/>
      <c r="L129" s="171" t="str">
        <f t="shared" si="5"/>
        <v/>
      </c>
      <c r="M129" s="172"/>
    </row>
    <row r="130" spans="1:13" s="173" customFormat="1" ht="18" customHeight="1" x14ac:dyDescent="0.2">
      <c r="A130" s="166"/>
      <c r="B130" s="494" t="s">
        <v>205</v>
      </c>
      <c r="C130" s="16"/>
      <c r="D130" s="168"/>
      <c r="E130" s="167"/>
      <c r="F130" s="168"/>
      <c r="G130" s="169" t="str">
        <f t="shared" si="4"/>
        <v/>
      </c>
      <c r="H130" s="168"/>
      <c r="I130" s="168"/>
      <c r="J130" s="170"/>
      <c r="K130" s="170"/>
      <c r="L130" s="171" t="str">
        <f t="shared" si="5"/>
        <v/>
      </c>
      <c r="M130" s="172"/>
    </row>
    <row r="131" spans="1:13" s="173" customFormat="1" ht="18.75" customHeight="1" x14ac:dyDescent="0.25">
      <c r="A131" s="166"/>
      <c r="B131" s="494" t="s">
        <v>205</v>
      </c>
      <c r="C131" s="357"/>
      <c r="D131" s="168"/>
      <c r="E131" s="167"/>
      <c r="F131" s="168"/>
      <c r="G131" s="169" t="str">
        <f t="shared" si="4"/>
        <v/>
      </c>
      <c r="H131" s="168"/>
      <c r="I131" s="168"/>
      <c r="J131" s="170"/>
      <c r="K131" s="170"/>
      <c r="L131" s="171" t="str">
        <f t="shared" si="5"/>
        <v/>
      </c>
      <c r="M131" s="172"/>
    </row>
    <row r="132" spans="1:13" s="173" customFormat="1" ht="22.5" customHeight="1" x14ac:dyDescent="0.25">
      <c r="A132" s="166"/>
      <c r="B132" s="494" t="s">
        <v>208</v>
      </c>
      <c r="C132" s="357"/>
      <c r="D132" s="168"/>
      <c r="E132" s="167"/>
      <c r="F132" s="168"/>
      <c r="G132" s="169" t="str">
        <f t="shared" si="4"/>
        <v/>
      </c>
      <c r="H132" s="168"/>
      <c r="I132" s="168"/>
      <c r="J132" s="170"/>
      <c r="K132" s="170"/>
      <c r="L132" s="171" t="str">
        <f t="shared" si="5"/>
        <v/>
      </c>
      <c r="M132" s="172"/>
    </row>
    <row r="133" spans="1:13" s="173" customFormat="1" ht="22.5" customHeight="1" x14ac:dyDescent="0.25">
      <c r="A133" s="166"/>
      <c r="B133" s="494" t="s">
        <v>208</v>
      </c>
      <c r="C133" s="357"/>
      <c r="D133" s="168"/>
      <c r="E133" s="167"/>
      <c r="F133" s="168"/>
      <c r="G133" s="169" t="str">
        <f t="shared" si="4"/>
        <v/>
      </c>
      <c r="H133" s="168"/>
      <c r="I133" s="168"/>
      <c r="J133" s="170"/>
      <c r="K133" s="170"/>
      <c r="L133" s="171" t="str">
        <f t="shared" si="5"/>
        <v/>
      </c>
      <c r="M133" s="172"/>
    </row>
    <row r="134" spans="1:13" s="173" customFormat="1" ht="22.5" customHeight="1" x14ac:dyDescent="0.25">
      <c r="A134" s="166"/>
      <c r="B134" s="494" t="s">
        <v>208</v>
      </c>
      <c r="C134" s="357"/>
      <c r="D134" s="168"/>
      <c r="E134" s="167"/>
      <c r="F134" s="168"/>
      <c r="G134" s="169" t="str">
        <f t="shared" si="4"/>
        <v/>
      </c>
      <c r="H134" s="168"/>
      <c r="I134" s="168"/>
      <c r="J134" s="170"/>
      <c r="K134" s="170"/>
      <c r="L134" s="171" t="str">
        <f t="shared" si="5"/>
        <v/>
      </c>
      <c r="M134" s="172"/>
    </row>
    <row r="135" spans="1:13" s="173" customFormat="1" ht="22.5" customHeight="1" x14ac:dyDescent="0.25">
      <c r="A135" s="166"/>
      <c r="B135" s="494" t="s">
        <v>208</v>
      </c>
      <c r="C135" s="357"/>
      <c r="D135" s="168"/>
      <c r="E135" s="167"/>
      <c r="F135" s="168"/>
      <c r="G135" s="169" t="str">
        <f t="shared" si="4"/>
        <v/>
      </c>
      <c r="H135" s="168"/>
      <c r="I135" s="168"/>
      <c r="J135" s="170"/>
      <c r="K135" s="170"/>
      <c r="L135" s="171" t="str">
        <f t="shared" si="5"/>
        <v/>
      </c>
      <c r="M135" s="172"/>
    </row>
    <row r="136" spans="1:13" s="173" customFormat="1" ht="22.5" customHeight="1" x14ac:dyDescent="0.25">
      <c r="A136" s="166"/>
      <c r="B136" s="494" t="s">
        <v>208</v>
      </c>
      <c r="C136" s="357"/>
      <c r="D136" s="168"/>
      <c r="E136" s="167"/>
      <c r="F136" s="168"/>
      <c r="G136" s="169" t="str">
        <f t="shared" si="4"/>
        <v/>
      </c>
      <c r="H136" s="168"/>
      <c r="I136" s="168"/>
      <c r="J136" s="170"/>
      <c r="K136" s="170"/>
      <c r="L136" s="171" t="str">
        <f t="shared" si="5"/>
        <v/>
      </c>
      <c r="M136" s="172"/>
    </row>
    <row r="137" spans="1:13" s="173" customFormat="1" ht="22.5" customHeight="1" x14ac:dyDescent="0.25">
      <c r="A137" s="166"/>
      <c r="B137" s="494" t="s">
        <v>208</v>
      </c>
      <c r="C137" s="357"/>
      <c r="D137" s="168"/>
      <c r="E137" s="167"/>
      <c r="F137" s="168"/>
      <c r="G137" s="169" t="str">
        <f t="shared" si="4"/>
        <v/>
      </c>
      <c r="H137" s="168"/>
      <c r="I137" s="168"/>
      <c r="J137" s="170"/>
      <c r="K137" s="170"/>
      <c r="L137" s="171" t="str">
        <f t="shared" si="5"/>
        <v/>
      </c>
      <c r="M137" s="172"/>
    </row>
    <row r="138" spans="1:13" s="173" customFormat="1" ht="22.5" customHeight="1" x14ac:dyDescent="0.25">
      <c r="A138" s="166"/>
      <c r="B138" s="494" t="s">
        <v>208</v>
      </c>
      <c r="C138" s="357"/>
      <c r="D138" s="168"/>
      <c r="E138" s="167"/>
      <c r="F138" s="168"/>
      <c r="G138" s="169" t="str">
        <f t="shared" si="4"/>
        <v/>
      </c>
      <c r="H138" s="168"/>
      <c r="I138" s="168"/>
      <c r="J138" s="170"/>
      <c r="K138" s="170"/>
      <c r="L138" s="171" t="str">
        <f t="shared" si="5"/>
        <v/>
      </c>
      <c r="M138" s="172"/>
    </row>
    <row r="139" spans="1:13" s="173" customFormat="1" ht="22.5" customHeight="1" x14ac:dyDescent="0.25">
      <c r="A139" s="166"/>
      <c r="B139" s="494" t="s">
        <v>208</v>
      </c>
      <c r="C139" s="357"/>
      <c r="D139" s="168"/>
      <c r="E139" s="167"/>
      <c r="F139" s="168"/>
      <c r="G139" s="169" t="str">
        <f t="shared" si="4"/>
        <v/>
      </c>
      <c r="H139" s="168"/>
      <c r="I139" s="168"/>
      <c r="J139" s="170"/>
      <c r="K139" s="170"/>
      <c r="L139" s="171" t="str">
        <f t="shared" si="5"/>
        <v/>
      </c>
      <c r="M139" s="172"/>
    </row>
    <row r="140" spans="1:13" s="173" customFormat="1" ht="18" customHeight="1" x14ac:dyDescent="0.25">
      <c r="A140" s="166"/>
      <c r="B140" s="494" t="s">
        <v>208</v>
      </c>
      <c r="C140" s="357"/>
      <c r="D140" s="168"/>
      <c r="E140" s="167"/>
      <c r="F140" s="168"/>
      <c r="G140" s="169" t="str">
        <f t="shared" si="4"/>
        <v/>
      </c>
      <c r="H140" s="168"/>
      <c r="I140" s="168"/>
      <c r="J140" s="170"/>
      <c r="K140" s="170"/>
      <c r="L140" s="171" t="str">
        <f t="shared" si="5"/>
        <v/>
      </c>
      <c r="M140" s="172"/>
    </row>
    <row r="141" spans="1:13" s="173" customFormat="1" ht="19.5" customHeight="1" x14ac:dyDescent="0.2">
      <c r="A141" s="166"/>
      <c r="B141" s="494" t="s">
        <v>208</v>
      </c>
      <c r="C141" s="15"/>
      <c r="D141" s="168"/>
      <c r="E141" s="167"/>
      <c r="F141" s="168"/>
      <c r="G141" s="169" t="str">
        <f t="shared" si="4"/>
        <v/>
      </c>
      <c r="H141" s="168"/>
      <c r="I141" s="168"/>
      <c r="J141" s="170"/>
      <c r="K141" s="170"/>
      <c r="L141" s="171" t="str">
        <f t="shared" si="5"/>
        <v/>
      </c>
      <c r="M141" s="172"/>
    </row>
    <row r="142" spans="1:13" x14ac:dyDescent="0.25">
      <c r="A142" s="36"/>
      <c r="B142" s="60"/>
      <c r="C142" s="60"/>
      <c r="D142" s="38"/>
      <c r="E142" s="38"/>
      <c r="F142" s="40"/>
      <c r="G142" s="38"/>
      <c r="H142" s="38"/>
      <c r="I142" s="38"/>
      <c r="J142" s="78"/>
      <c r="K142" s="62" t="s">
        <v>212</v>
      </c>
      <c r="L142" s="61">
        <f>SUM(L92:L141)</f>
        <v>0</v>
      </c>
      <c r="M142" s="45"/>
    </row>
    <row r="143" spans="1:13" ht="7.95" customHeight="1" x14ac:dyDescent="0.25">
      <c r="A143" s="63"/>
      <c r="B143" s="64"/>
      <c r="C143" s="64"/>
      <c r="D143" s="65"/>
      <c r="E143" s="65"/>
      <c r="F143" s="66"/>
      <c r="G143" s="65"/>
      <c r="H143" s="65"/>
      <c r="I143" s="65"/>
      <c r="J143" s="65"/>
      <c r="K143" s="67"/>
      <c r="L143" s="68"/>
      <c r="M143" s="69"/>
    </row>
    <row r="144" spans="1:13" ht="17.399999999999999" x14ac:dyDescent="0.3">
      <c r="A144" s="30"/>
      <c r="B144" s="70"/>
      <c r="C144" s="70"/>
      <c r="D144" s="32"/>
      <c r="E144" s="32"/>
      <c r="F144" s="32"/>
      <c r="G144" s="32"/>
      <c r="H144" s="32"/>
      <c r="I144" s="32"/>
      <c r="J144" s="32"/>
      <c r="K144" s="33"/>
      <c r="L144" s="33"/>
      <c r="M144" s="71"/>
    </row>
    <row r="145" spans="1:13" ht="15" customHeight="1" x14ac:dyDescent="0.3">
      <c r="A145" s="36"/>
      <c r="B145" s="768" t="str">
        <f>B2</f>
        <v>Lismore City Council</v>
      </c>
      <c r="C145" s="769"/>
      <c r="D145" s="769"/>
      <c r="E145" s="769"/>
      <c r="F145" s="770"/>
      <c r="G145" s="42"/>
      <c r="H145" s="42"/>
      <c r="I145" s="42"/>
      <c r="J145" s="38"/>
      <c r="K145" s="39"/>
      <c r="L145" s="40"/>
      <c r="M145" s="48"/>
    </row>
    <row r="146" spans="1:13" ht="24" customHeight="1" x14ac:dyDescent="0.4">
      <c r="A146" s="36"/>
      <c r="B146" s="72"/>
      <c r="C146" s="775" t="s">
        <v>26</v>
      </c>
      <c r="D146" s="775"/>
      <c r="E146" s="775"/>
      <c r="F146" s="775"/>
      <c r="G146" s="775"/>
      <c r="H146" s="775"/>
      <c r="I146" s="775"/>
      <c r="J146" s="775"/>
      <c r="K146" s="775"/>
      <c r="L146" s="76"/>
      <c r="M146" s="46"/>
    </row>
    <row r="147" spans="1:13" x14ac:dyDescent="0.25">
      <c r="A147" s="36"/>
      <c r="B147" s="47"/>
      <c r="C147" s="47"/>
      <c r="D147" s="42"/>
      <c r="E147" s="42"/>
      <c r="F147" s="42"/>
      <c r="G147" s="42"/>
      <c r="H147" s="42"/>
      <c r="I147" s="42"/>
      <c r="J147" s="38"/>
      <c r="K147" s="39"/>
      <c r="L147" s="39"/>
      <c r="M147" s="48"/>
    </row>
    <row r="148" spans="1:13" ht="63.75" customHeight="1" x14ac:dyDescent="0.2">
      <c r="A148" s="51"/>
      <c r="B148" s="776" t="s">
        <v>27</v>
      </c>
      <c r="C148" s="777"/>
      <c r="D148" s="777"/>
      <c r="E148" s="777"/>
      <c r="F148" s="777"/>
      <c r="G148" s="777"/>
      <c r="H148" s="777"/>
      <c r="I148" s="778"/>
      <c r="J148" s="554" t="s">
        <v>624</v>
      </c>
      <c r="K148" s="77" t="s">
        <v>28</v>
      </c>
      <c r="L148" s="365" t="s">
        <v>355</v>
      </c>
      <c r="M148" s="45"/>
    </row>
    <row r="149" spans="1:13" x14ac:dyDescent="0.25">
      <c r="A149" s="36"/>
      <c r="B149" s="765"/>
      <c r="C149" s="766"/>
      <c r="D149" s="766"/>
      <c r="E149" s="766"/>
      <c r="F149" s="766"/>
      <c r="G149" s="766"/>
      <c r="H149" s="766"/>
      <c r="I149" s="767"/>
      <c r="J149" s="20"/>
      <c r="K149" s="20"/>
      <c r="L149" s="79" t="str">
        <f>IF(B149="","",J149*K149)</f>
        <v/>
      </c>
      <c r="M149" s="45"/>
    </row>
    <row r="150" spans="1:13" x14ac:dyDescent="0.25">
      <c r="A150" s="36"/>
      <c r="B150" s="765"/>
      <c r="C150" s="766"/>
      <c r="D150" s="766"/>
      <c r="E150" s="766"/>
      <c r="F150" s="766"/>
      <c r="G150" s="766"/>
      <c r="H150" s="766"/>
      <c r="I150" s="767"/>
      <c r="J150" s="20"/>
      <c r="K150" s="20"/>
      <c r="L150" s="79" t="str">
        <f t="shared" ref="L150:L156" si="6">IF(B150="","",J150*K150)</f>
        <v/>
      </c>
      <c r="M150" s="45"/>
    </row>
    <row r="151" spans="1:13" x14ac:dyDescent="0.25">
      <c r="A151" s="36"/>
      <c r="B151" s="765"/>
      <c r="C151" s="766"/>
      <c r="D151" s="766"/>
      <c r="E151" s="766"/>
      <c r="F151" s="766"/>
      <c r="G151" s="766"/>
      <c r="H151" s="766"/>
      <c r="I151" s="767"/>
      <c r="J151" s="20"/>
      <c r="K151" s="20"/>
      <c r="L151" s="79" t="str">
        <f t="shared" si="6"/>
        <v/>
      </c>
      <c r="M151" s="45"/>
    </row>
    <row r="152" spans="1:13" x14ac:dyDescent="0.25">
      <c r="A152" s="36"/>
      <c r="B152" s="765"/>
      <c r="C152" s="766"/>
      <c r="D152" s="766"/>
      <c r="E152" s="766"/>
      <c r="F152" s="766"/>
      <c r="G152" s="766"/>
      <c r="H152" s="766"/>
      <c r="I152" s="767"/>
      <c r="J152" s="20"/>
      <c r="K152" s="20"/>
      <c r="L152" s="79" t="str">
        <f t="shared" si="6"/>
        <v/>
      </c>
      <c r="M152" s="45"/>
    </row>
    <row r="153" spans="1:13" x14ac:dyDescent="0.25">
      <c r="A153" s="36"/>
      <c r="B153" s="765"/>
      <c r="C153" s="766"/>
      <c r="D153" s="766"/>
      <c r="E153" s="766"/>
      <c r="F153" s="766"/>
      <c r="G153" s="766"/>
      <c r="H153" s="766"/>
      <c r="I153" s="767"/>
      <c r="J153" s="20"/>
      <c r="K153" s="20"/>
      <c r="L153" s="79" t="str">
        <f t="shared" si="6"/>
        <v/>
      </c>
      <c r="M153" s="45"/>
    </row>
    <row r="154" spans="1:13" x14ac:dyDescent="0.25">
      <c r="A154" s="36"/>
      <c r="B154" s="765"/>
      <c r="C154" s="766"/>
      <c r="D154" s="766"/>
      <c r="E154" s="766"/>
      <c r="F154" s="766"/>
      <c r="G154" s="766"/>
      <c r="H154" s="766"/>
      <c r="I154" s="767"/>
      <c r="J154" s="20"/>
      <c r="K154" s="20"/>
      <c r="L154" s="79" t="str">
        <f t="shared" si="6"/>
        <v/>
      </c>
      <c r="M154" s="45"/>
    </row>
    <row r="155" spans="1:13" x14ac:dyDescent="0.25">
      <c r="A155" s="36"/>
      <c r="B155" s="765"/>
      <c r="C155" s="766"/>
      <c r="D155" s="766"/>
      <c r="E155" s="766"/>
      <c r="F155" s="766"/>
      <c r="G155" s="766"/>
      <c r="H155" s="766"/>
      <c r="I155" s="767"/>
      <c r="J155" s="20"/>
      <c r="K155" s="20"/>
      <c r="L155" s="79" t="str">
        <f t="shared" si="6"/>
        <v/>
      </c>
      <c r="M155" s="45"/>
    </row>
    <row r="156" spans="1:13" x14ac:dyDescent="0.25">
      <c r="A156" s="36"/>
      <c r="B156" s="765"/>
      <c r="C156" s="766"/>
      <c r="D156" s="766"/>
      <c r="E156" s="766"/>
      <c r="F156" s="766"/>
      <c r="G156" s="766"/>
      <c r="H156" s="766"/>
      <c r="I156" s="767"/>
      <c r="J156" s="20"/>
      <c r="K156" s="20"/>
      <c r="L156" s="79" t="str">
        <f t="shared" si="6"/>
        <v/>
      </c>
      <c r="M156" s="45"/>
    </row>
    <row r="157" spans="1:13" x14ac:dyDescent="0.25">
      <c r="A157" s="36"/>
      <c r="B157" s="60"/>
      <c r="C157" s="60"/>
      <c r="D157" s="38"/>
      <c r="E157" s="38"/>
      <c r="F157" s="40"/>
      <c r="G157" s="38"/>
      <c r="H157" s="38"/>
      <c r="I157" s="38"/>
      <c r="J157" s="62"/>
      <c r="K157" s="62" t="s">
        <v>212</v>
      </c>
      <c r="L157" s="61">
        <f>SUM(L149:L156)</f>
        <v>0</v>
      </c>
      <c r="M157" s="45"/>
    </row>
    <row r="158" spans="1:13" ht="9" customHeight="1" x14ac:dyDescent="0.25">
      <c r="A158" s="36"/>
      <c r="B158" s="60"/>
      <c r="C158" s="60"/>
      <c r="D158" s="38"/>
      <c r="E158" s="38"/>
      <c r="F158" s="40"/>
      <c r="G158" s="38"/>
      <c r="H158" s="38"/>
      <c r="I158" s="38"/>
      <c r="J158" s="38"/>
      <c r="K158" s="78"/>
      <c r="L158" s="62"/>
      <c r="M158" s="84"/>
    </row>
    <row r="159" spans="1:13" ht="6.75" customHeight="1" x14ac:dyDescent="0.25">
      <c r="A159" s="36"/>
      <c r="B159" s="38"/>
      <c r="C159" s="38"/>
      <c r="D159" s="38"/>
      <c r="E159" s="38"/>
      <c r="F159" s="40"/>
      <c r="G159" s="38"/>
      <c r="H159" s="38"/>
      <c r="I159" s="38"/>
      <c r="J159" s="38"/>
      <c r="K159" s="78"/>
      <c r="L159" s="62"/>
      <c r="M159" s="84"/>
    </row>
    <row r="160" spans="1:13" ht="15.6" x14ac:dyDescent="0.3">
      <c r="A160" s="36"/>
      <c r="B160" s="38"/>
      <c r="C160" s="38"/>
      <c r="D160" s="38"/>
      <c r="E160" s="38"/>
      <c r="F160" s="190" t="s">
        <v>356</v>
      </c>
      <c r="G160" s="80"/>
      <c r="H160" s="80"/>
      <c r="I160" s="81"/>
      <c r="J160" s="82"/>
      <c r="K160" s="779">
        <f>S2_Ordinary_Rates_Sub_Total+S2_Special_Rates_Sub_Total+S2_Annual_Charges_Sub_Total</f>
        <v>30104219.586838</v>
      </c>
      <c r="L160" s="780"/>
      <c r="M160" s="45"/>
    </row>
    <row r="161" spans="1:13" x14ac:dyDescent="0.25">
      <c r="A161" s="36"/>
      <c r="B161" s="38"/>
      <c r="C161" s="38"/>
      <c r="D161" s="38"/>
      <c r="E161" s="38"/>
      <c r="F161" s="40"/>
      <c r="G161" s="38"/>
      <c r="H161" s="38"/>
      <c r="I161" s="38"/>
      <c r="J161" s="78"/>
      <c r="K161" s="85"/>
      <c r="L161" s="86"/>
      <c r="M161" s="45"/>
    </row>
    <row r="162" spans="1:13" ht="15.6" x14ac:dyDescent="0.3">
      <c r="A162" s="36"/>
      <c r="B162" s="38"/>
      <c r="C162" s="38"/>
      <c r="D162" s="38"/>
      <c r="E162" s="38"/>
      <c r="F162" s="80" t="s">
        <v>215</v>
      </c>
      <c r="G162" s="81"/>
      <c r="H162" s="81"/>
      <c r="I162" s="81"/>
      <c r="J162" s="82"/>
      <c r="K162" s="81"/>
      <c r="L162" s="81"/>
      <c r="M162" s="45"/>
    </row>
    <row r="163" spans="1:13" ht="15.6" x14ac:dyDescent="0.3">
      <c r="A163" s="36"/>
      <c r="B163" s="38"/>
      <c r="C163" s="38"/>
      <c r="D163" s="38"/>
      <c r="E163" s="38"/>
      <c r="F163" s="80"/>
      <c r="G163" s="83" t="s">
        <v>31</v>
      </c>
      <c r="H163" s="81"/>
      <c r="I163" s="81"/>
      <c r="J163" s="82"/>
      <c r="K163" s="781"/>
      <c r="L163" s="782"/>
      <c r="M163" s="45"/>
    </row>
    <row r="164" spans="1:13" x14ac:dyDescent="0.25">
      <c r="A164" s="36"/>
      <c r="B164" s="38"/>
      <c r="C164" s="38"/>
      <c r="D164" s="38"/>
      <c r="E164" s="38"/>
      <c r="F164" s="40"/>
      <c r="G164" s="38"/>
      <c r="H164" s="38"/>
      <c r="I164" s="38"/>
      <c r="J164" s="78"/>
      <c r="K164" s="85"/>
      <c r="L164" s="86"/>
      <c r="M164" s="45"/>
    </row>
    <row r="165" spans="1:13" ht="17.399999999999999" x14ac:dyDescent="0.3">
      <c r="A165" s="36"/>
      <c r="B165" s="38"/>
      <c r="C165" s="38"/>
      <c r="D165" s="38"/>
      <c r="E165" s="38"/>
      <c r="F165" s="37" t="s">
        <v>357</v>
      </c>
      <c r="G165" s="81"/>
      <c r="H165" s="81"/>
      <c r="I165" s="81"/>
      <c r="J165" s="82"/>
      <c r="K165" s="783">
        <f>Total_First_year_Notional_General_Income_Yield+K163</f>
        <v>30104219.586838</v>
      </c>
      <c r="L165" s="784"/>
      <c r="M165" s="45"/>
    </row>
    <row r="166" spans="1:13" x14ac:dyDescent="0.25">
      <c r="A166" s="36"/>
      <c r="B166" s="38"/>
      <c r="C166" s="38"/>
      <c r="D166" s="38"/>
      <c r="E166" s="38"/>
      <c r="F166" s="40"/>
      <c r="G166" s="38"/>
      <c r="H166" s="38"/>
      <c r="I166" s="38"/>
      <c r="J166" s="78"/>
      <c r="K166" s="85"/>
      <c r="L166" s="88"/>
      <c r="M166" s="45"/>
    </row>
    <row r="167" spans="1:13" x14ac:dyDescent="0.25">
      <c r="A167" s="36"/>
      <c r="B167" s="60"/>
      <c r="C167" s="60"/>
      <c r="D167" s="38"/>
      <c r="E167" s="38"/>
      <c r="F167" s="40"/>
      <c r="G167" s="38"/>
      <c r="H167" s="38"/>
      <c r="I167" s="38"/>
      <c r="J167" s="38"/>
      <c r="K167" s="78"/>
      <c r="L167" s="62"/>
      <c r="M167" s="84"/>
    </row>
    <row r="168" spans="1:13" x14ac:dyDescent="0.25">
      <c r="A168" s="36"/>
      <c r="B168" s="59" t="s">
        <v>213</v>
      </c>
      <c r="C168" s="59"/>
      <c r="D168" s="38"/>
      <c r="E168" s="38"/>
      <c r="F168" s="40"/>
      <c r="G168" s="38"/>
      <c r="H168" s="38"/>
      <c r="I168" s="38"/>
      <c r="J168" s="38"/>
      <c r="K168" s="78"/>
      <c r="L168" s="62"/>
      <c r="M168" s="84"/>
    </row>
    <row r="169" spans="1:13" x14ac:dyDescent="0.25">
      <c r="A169" s="63"/>
      <c r="B169" s="65"/>
      <c r="C169" s="65"/>
      <c r="D169" s="65"/>
      <c r="E169" s="65"/>
      <c r="F169" s="65"/>
      <c r="G169" s="65"/>
      <c r="H169" s="65"/>
      <c r="I169" s="65"/>
      <c r="J169" s="65"/>
      <c r="K169" s="89"/>
      <c r="L169" s="89"/>
      <c r="M169" s="87"/>
    </row>
    <row r="170" spans="1:13" x14ac:dyDescent="0.25">
      <c r="A170" s="21"/>
      <c r="B170" s="21"/>
    </row>
    <row r="171" spans="1:13" x14ac:dyDescent="0.25">
      <c r="A171" s="21"/>
      <c r="B171" s="21"/>
    </row>
    <row r="172" spans="1:13" x14ac:dyDescent="0.25">
      <c r="A172" s="21"/>
      <c r="B172" s="21"/>
    </row>
    <row r="173" spans="1:13" x14ac:dyDescent="0.25">
      <c r="A173" s="21"/>
      <c r="B173" s="21"/>
    </row>
    <row r="174" spans="1:13" x14ac:dyDescent="0.25">
      <c r="A174" s="21"/>
      <c r="B174" s="21"/>
    </row>
    <row r="175" spans="1:13" x14ac:dyDescent="0.25">
      <c r="A175" s="21"/>
      <c r="B175" s="21"/>
    </row>
  </sheetData>
  <sheetProtection password="CC77" sheet="1"/>
  <mergeCells count="22">
    <mergeCell ref="B145:F145"/>
    <mergeCell ref="B2:F2"/>
    <mergeCell ref="C88:K88"/>
    <mergeCell ref="B4:L4"/>
    <mergeCell ref="B6:L6"/>
    <mergeCell ref="B9:L9"/>
    <mergeCell ref="B87:F87"/>
    <mergeCell ref="C10:K10"/>
    <mergeCell ref="B8:L8"/>
    <mergeCell ref="B152:I152"/>
    <mergeCell ref="B150:I150"/>
    <mergeCell ref="B151:I151"/>
    <mergeCell ref="C146:K146"/>
    <mergeCell ref="B149:I149"/>
    <mergeCell ref="B148:I148"/>
    <mergeCell ref="K160:L160"/>
    <mergeCell ref="K163:L163"/>
    <mergeCell ref="K165:L165"/>
    <mergeCell ref="B153:I153"/>
    <mergeCell ref="B154:I154"/>
    <mergeCell ref="B155:I155"/>
    <mergeCell ref="B156:I156"/>
  </mergeCells>
  <phoneticPr fontId="3" type="noConversion"/>
  <dataValidations xWindow="554" yWindow="798" count="7">
    <dataValidation type="whole" allowBlank="1" showInputMessage="1" showErrorMessage="1" errorTitle="Invalid number" error="This amount MUST be a negative whole number." promptTitle="Valuation Objections" prompt="_x000a_If Council has exceeded its Permissible Income to recover income lost due to valuation objections, notional yield should be adjusted by that amount._x000a__x000a_Note: This adjustment will reduce Council's income yield and should be entered as a negative number." sqref="K163:L163">
      <formula1>-10000000</formula1>
      <formula2>0</formula2>
    </dataValidation>
    <dataValidation allowBlank="1" showErrorMessage="1" promptTitle="Note:" prompt="Do not forget to enter base date at the top of this form._x000a_" sqref="K160:L160"/>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73:C81 C83">
      <formula1>NOT(ISBLANK(B73))</formula1>
    </dataValidation>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2:F81 F83 F14:F33 F35:F59 F61:F70 F92:F141"/>
    <dataValidation allowBlank="1" showInputMessage="1" showErrorMessage="1" promptTitle="Note:" prompt="Total land value includes all rateable parcels including those parcels subject to a minimum." sqref="J92:J141 J14:J33 J35:J59 J61:J70 J72:J81 J83"/>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2:E141 E83 E35:E59 E14:E33 E61:E70 E72:E81"/>
    <dataValidation allowBlank="1" showInputMessage="1" showErrorMessage="1" promptTitle="Note:" prompt="Please enter Minimum, Ad Valorem Rate and Base Amount for this rating category/sub-category on the same row." sqref="H92:H141 H14:H33 H35:H59 H61:H70 H72:H81 H83"/>
  </dataValidations>
  <printOptions horizontalCentered="1"/>
  <pageMargins left="0.74803149606299213" right="0.74803149606299213" top="0.15748031496062992" bottom="0.15748031496062992" header="0.15748031496062992" footer="0.15748031496062992"/>
  <pageSetup paperSize="9" scale="58" fitToHeight="0" orientation="portrait" r:id="rId1"/>
  <headerFooter alignWithMargins="0"/>
  <rowBreaks count="2" manualBreakCount="2">
    <brk id="85" max="16383" man="1"/>
    <brk id="1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7"/>
  <sheetViews>
    <sheetView showGridLines="0" topLeftCell="A7" zoomScale="115" zoomScaleNormal="115" workbookViewId="0"/>
  </sheetViews>
  <sheetFormatPr defaultRowHeight="11.4" x14ac:dyDescent="0.2"/>
  <cols>
    <col min="1" max="1" width="2.875" customWidth="1"/>
    <col min="2" max="2" width="14.375" customWidth="1"/>
    <col min="3" max="3" width="12.375" customWidth="1"/>
    <col min="4" max="5" width="15.25" customWidth="1"/>
    <col min="6" max="6" width="18.125" customWidth="1"/>
    <col min="7" max="7" width="4.375" customWidth="1"/>
    <col min="8" max="8" width="23.75" customWidth="1"/>
    <col min="9" max="9" width="5.75" customWidth="1"/>
    <col min="12" max="12" width="13.75" bestFit="1" customWidth="1"/>
  </cols>
  <sheetData>
    <row r="1" spans="1:9" ht="12" customHeight="1" x14ac:dyDescent="0.25">
      <c r="A1" s="263"/>
      <c r="B1" s="264"/>
      <c r="C1" s="264"/>
      <c r="D1" s="264"/>
      <c r="E1" s="264"/>
      <c r="F1" s="264"/>
      <c r="G1" s="264"/>
      <c r="H1" s="264"/>
      <c r="I1" s="265"/>
    </row>
    <row r="2" spans="1:9" ht="15.6" x14ac:dyDescent="0.25">
      <c r="A2" s="104"/>
      <c r="B2" s="790" t="str">
        <f>'WK1 - Identification'!E11</f>
        <v>Lismore City Council</v>
      </c>
      <c r="C2" s="791"/>
      <c r="D2" s="791"/>
      <c r="E2" s="791"/>
      <c r="F2" s="792"/>
      <c r="G2" s="29"/>
      <c r="H2" s="212"/>
      <c r="I2" s="115"/>
    </row>
    <row r="3" spans="1:9" ht="12" customHeight="1" x14ac:dyDescent="0.25">
      <c r="A3" s="104"/>
      <c r="B3" s="81"/>
      <c r="C3" s="81"/>
      <c r="D3" s="81"/>
      <c r="E3" s="81"/>
      <c r="F3" s="81"/>
      <c r="G3" s="81"/>
      <c r="H3" s="81"/>
      <c r="I3" s="115"/>
    </row>
    <row r="4" spans="1:9" ht="24.6" x14ac:dyDescent="0.4">
      <c r="A4" s="104"/>
      <c r="B4" s="789" t="s">
        <v>216</v>
      </c>
      <c r="C4" s="789"/>
      <c r="D4" s="789"/>
      <c r="E4" s="789"/>
      <c r="F4" s="789"/>
      <c r="G4" s="789"/>
      <c r="H4" s="789"/>
      <c r="I4" s="115"/>
    </row>
    <row r="5" spans="1:9" ht="12" customHeight="1" x14ac:dyDescent="0.25">
      <c r="A5" s="104"/>
      <c r="B5" s="81"/>
      <c r="C5" s="81"/>
      <c r="D5" s="81"/>
      <c r="E5" s="81"/>
      <c r="F5" s="81"/>
      <c r="G5" s="81"/>
      <c r="H5" s="81"/>
      <c r="I5" s="115"/>
    </row>
    <row r="6" spans="1:9" ht="22.8" x14ac:dyDescent="0.4">
      <c r="A6" s="104"/>
      <c r="B6" s="793" t="s">
        <v>555</v>
      </c>
      <c r="C6" s="793"/>
      <c r="D6" s="793"/>
      <c r="E6" s="793"/>
      <c r="F6" s="793"/>
      <c r="G6" s="793"/>
      <c r="H6" s="793"/>
      <c r="I6" s="115"/>
    </row>
    <row r="7" spans="1:9" ht="22.8" x14ac:dyDescent="0.4">
      <c r="A7" s="104"/>
      <c r="B7" s="208"/>
      <c r="C7" s="208"/>
      <c r="D7" s="208"/>
      <c r="E7" s="599" t="s">
        <v>728</v>
      </c>
      <c r="F7" s="208"/>
      <c r="G7" s="208"/>
      <c r="H7" s="208"/>
      <c r="I7" s="115"/>
    </row>
    <row r="8" spans="1:9" ht="26.25" customHeight="1" x14ac:dyDescent="0.3">
      <c r="A8" s="347"/>
      <c r="B8" s="293" t="s">
        <v>501</v>
      </c>
      <c r="C8" s="117"/>
      <c r="D8" s="117"/>
      <c r="E8" s="117"/>
      <c r="F8" s="117"/>
      <c r="G8" s="117"/>
      <c r="H8" s="117"/>
      <c r="I8" s="115"/>
    </row>
    <row r="9" spans="1:9" ht="16.5" customHeight="1" x14ac:dyDescent="0.3">
      <c r="A9" s="104"/>
      <c r="B9" s="794" t="s">
        <v>390</v>
      </c>
      <c r="C9" s="750"/>
      <c r="D9" s="750"/>
      <c r="E9" s="750"/>
      <c r="F9" s="750"/>
      <c r="G9" s="750"/>
      <c r="H9" s="750"/>
      <c r="I9" s="115"/>
    </row>
    <row r="10" spans="1:9" ht="26.25" customHeight="1" x14ac:dyDescent="0.25">
      <c r="A10" s="104"/>
      <c r="B10" s="81" t="s">
        <v>32</v>
      </c>
      <c r="C10" s="81"/>
      <c r="D10" s="81"/>
      <c r="E10" s="81"/>
      <c r="F10" s="81"/>
      <c r="G10" s="81"/>
      <c r="H10" s="266">
        <f>Total_Prior_year_Notional_General_Income</f>
        <v>29426234.448675003</v>
      </c>
      <c r="I10" s="115"/>
    </row>
    <row r="11" spans="1:9" ht="8.1" customHeight="1" x14ac:dyDescent="0.25">
      <c r="A11" s="104"/>
      <c r="B11" s="81"/>
      <c r="C11" s="81"/>
      <c r="D11" s="81"/>
      <c r="E11" s="81"/>
      <c r="F11" s="81"/>
      <c r="G11" s="81"/>
      <c r="H11" s="81"/>
      <c r="I11" s="115"/>
    </row>
    <row r="12" spans="1:9" ht="15.6" x14ac:dyDescent="0.3">
      <c r="A12" s="104"/>
      <c r="B12" s="83" t="s">
        <v>217</v>
      </c>
      <c r="C12" s="81" t="s">
        <v>536</v>
      </c>
      <c r="D12" s="81"/>
      <c r="E12" s="81"/>
      <c r="F12" s="81"/>
      <c r="G12" s="81"/>
      <c r="H12" s="266">
        <f>'WK1 - Identification'!J44</f>
        <v>115277</v>
      </c>
      <c r="I12" s="115"/>
    </row>
    <row r="13" spans="1:9" ht="17.25" customHeight="1" x14ac:dyDescent="0.25">
      <c r="A13" s="104"/>
      <c r="B13" s="81"/>
      <c r="C13" s="81"/>
      <c r="D13" s="81"/>
      <c r="E13" s="81"/>
      <c r="F13" s="81"/>
      <c r="G13" s="81"/>
      <c r="H13" s="81"/>
      <c r="I13" s="115"/>
    </row>
    <row r="14" spans="1:9" ht="17.399999999999999" x14ac:dyDescent="0.3">
      <c r="A14" s="104"/>
      <c r="B14" s="81" t="s">
        <v>33</v>
      </c>
      <c r="C14" s="81"/>
      <c r="D14" s="81"/>
      <c r="E14" s="81"/>
      <c r="F14" s="267"/>
      <c r="G14" s="268" t="s">
        <v>71</v>
      </c>
      <c r="H14" s="269">
        <f>H10-H12</f>
        <v>29310957.448675003</v>
      </c>
      <c r="I14" s="115"/>
    </row>
    <row r="15" spans="1:9" ht="15" x14ac:dyDescent="0.25">
      <c r="A15" s="104"/>
      <c r="B15" s="81"/>
      <c r="C15" s="81"/>
      <c r="D15" s="81"/>
      <c r="E15" s="81"/>
      <c r="F15" s="81"/>
      <c r="G15" s="81"/>
      <c r="H15" s="81"/>
      <c r="I15" s="115"/>
    </row>
    <row r="16" spans="1:9" ht="9.75" customHeight="1" x14ac:dyDescent="0.25">
      <c r="A16" s="104"/>
      <c r="B16" s="81"/>
      <c r="C16" s="81"/>
      <c r="D16" s="81"/>
      <c r="E16" s="81"/>
      <c r="F16" s="81"/>
      <c r="G16" s="81"/>
      <c r="H16" s="81"/>
      <c r="I16" s="115"/>
    </row>
    <row r="17" spans="1:9" ht="15.6" x14ac:dyDescent="0.3">
      <c r="A17" s="104"/>
      <c r="B17" s="80" t="s">
        <v>218</v>
      </c>
      <c r="C17" s="81" t="s">
        <v>9</v>
      </c>
      <c r="D17" s="81"/>
      <c r="E17" s="81"/>
      <c r="F17" s="181">
        <f>'WK0 - Input data'!$E$7</f>
        <v>2.3E-2</v>
      </c>
      <c r="G17" s="270"/>
      <c r="H17" s="271">
        <f>ROUND(H14*F17,0)</f>
        <v>674152</v>
      </c>
      <c r="I17" s="115"/>
    </row>
    <row r="18" spans="1:9" ht="6.75" customHeight="1" x14ac:dyDescent="0.3">
      <c r="A18" s="104"/>
      <c r="B18" s="80"/>
      <c r="C18" s="81"/>
      <c r="D18" s="81"/>
      <c r="E18" s="81"/>
      <c r="F18" s="181"/>
      <c r="G18" s="270"/>
      <c r="H18" s="272"/>
      <c r="I18" s="115"/>
    </row>
    <row r="19" spans="1:9" ht="18.75" customHeight="1" x14ac:dyDescent="0.3">
      <c r="A19" s="104"/>
      <c r="B19" s="80" t="s">
        <v>218</v>
      </c>
      <c r="C19" s="95" t="s">
        <v>10</v>
      </c>
      <c r="D19" s="81"/>
      <c r="E19" s="81"/>
      <c r="F19" s="181">
        <f>'WK1 - Identification'!L24</f>
        <v>4.1000000000000003E-3</v>
      </c>
      <c r="G19" s="81"/>
      <c r="H19" s="271">
        <f>ROUND(H14*F19,0)</f>
        <v>120175</v>
      </c>
      <c r="I19" s="115"/>
    </row>
    <row r="20" spans="1:9" ht="8.25" customHeight="1" x14ac:dyDescent="0.3">
      <c r="A20" s="104"/>
      <c r="B20" s="80"/>
      <c r="C20" s="273"/>
      <c r="D20" s="81"/>
      <c r="E20" s="81"/>
      <c r="F20" s="181"/>
      <c r="G20" s="81"/>
      <c r="H20" s="274"/>
      <c r="I20" s="115"/>
    </row>
    <row r="21" spans="1:9" ht="15.75" customHeight="1" x14ac:dyDescent="0.3">
      <c r="A21" s="104"/>
      <c r="B21" s="80" t="s">
        <v>218</v>
      </c>
      <c r="C21" s="95" t="s">
        <v>11</v>
      </c>
      <c r="D21" s="81"/>
      <c r="E21" s="81"/>
      <c r="F21" s="181">
        <f>IF(H14=0,0,H21/H14)</f>
        <v>0</v>
      </c>
      <c r="G21" s="81"/>
      <c r="H21" s="271">
        <f>'WK1 - Identification'!L33</f>
        <v>0</v>
      </c>
      <c r="I21" s="115"/>
    </row>
    <row r="22" spans="1:9" ht="16.5" customHeight="1" x14ac:dyDescent="0.3">
      <c r="A22" s="104"/>
      <c r="B22" s="80"/>
      <c r="C22" s="95"/>
      <c r="D22" s="81"/>
      <c r="E22" s="81"/>
      <c r="F22" s="275"/>
      <c r="G22" s="81"/>
      <c r="H22" s="276"/>
      <c r="I22" s="115"/>
    </row>
    <row r="23" spans="1:9" ht="22.5" customHeight="1" x14ac:dyDescent="0.4">
      <c r="A23" s="104"/>
      <c r="B23" s="80"/>
      <c r="C23" s="83" t="s">
        <v>12</v>
      </c>
      <c r="D23" s="81"/>
      <c r="E23" s="81"/>
      <c r="F23" s="277">
        <f>(F17+F19+F21)</f>
        <v>2.7099999999999999E-2</v>
      </c>
      <c r="G23" s="268" t="s">
        <v>71</v>
      </c>
      <c r="H23" s="278">
        <f>ROUND(H14*F23,0)</f>
        <v>794327</v>
      </c>
      <c r="I23" s="115"/>
    </row>
    <row r="24" spans="1:9" ht="13.5" customHeight="1" x14ac:dyDescent="0.3">
      <c r="A24" s="104"/>
      <c r="B24" s="80"/>
      <c r="C24" s="83"/>
      <c r="D24" s="81"/>
      <c r="E24" s="81"/>
      <c r="F24" s="279"/>
      <c r="G24" s="81"/>
      <c r="H24" s="276"/>
      <c r="I24" s="115"/>
    </row>
    <row r="25" spans="1:9" ht="4.5" customHeight="1" x14ac:dyDescent="0.3">
      <c r="A25" s="104"/>
      <c r="B25" s="80"/>
      <c r="C25" s="81"/>
      <c r="D25" s="81"/>
      <c r="E25" s="81"/>
      <c r="F25" s="81"/>
      <c r="G25" s="81"/>
      <c r="H25" s="81"/>
      <c r="I25" s="115"/>
    </row>
    <row r="26" spans="1:9" ht="15.75" customHeight="1" x14ac:dyDescent="0.3">
      <c r="A26" s="104"/>
      <c r="B26" s="280" t="s">
        <v>309</v>
      </c>
      <c r="C26" s="81"/>
      <c r="D26" s="81"/>
      <c r="E26" s="81"/>
      <c r="F26" s="81"/>
      <c r="G26" s="81"/>
      <c r="H26" s="81"/>
      <c r="I26" s="115"/>
    </row>
    <row r="27" spans="1:9" ht="15" x14ac:dyDescent="0.25">
      <c r="A27" s="104"/>
      <c r="B27" s="42"/>
      <c r="C27" s="81"/>
      <c r="D27" s="81"/>
      <c r="E27" s="81"/>
      <c r="F27" s="81"/>
      <c r="G27" s="81"/>
      <c r="H27" s="81"/>
      <c r="I27" s="115"/>
    </row>
    <row r="28" spans="1:9" ht="8.25" customHeight="1" x14ac:dyDescent="0.3">
      <c r="A28" s="104"/>
      <c r="B28" s="80"/>
      <c r="C28" s="81"/>
      <c r="D28" s="81"/>
      <c r="E28" s="81"/>
      <c r="F28" s="81"/>
      <c r="G28" s="81"/>
      <c r="H28" s="81"/>
      <c r="I28" s="115"/>
    </row>
    <row r="29" spans="1:9" ht="17.25" customHeight="1" x14ac:dyDescent="0.3">
      <c r="A29" s="104"/>
      <c r="B29" s="80" t="s">
        <v>229</v>
      </c>
      <c r="C29" s="81" t="s">
        <v>617</v>
      </c>
      <c r="D29" s="81"/>
      <c r="E29" s="81"/>
      <c r="F29" s="81"/>
      <c r="G29" s="81"/>
      <c r="H29" s="271">
        <f>'WK1 - Identification'!L34</f>
        <v>1258</v>
      </c>
      <c r="I29" s="115"/>
    </row>
    <row r="30" spans="1:9" ht="8.1" customHeight="1" x14ac:dyDescent="0.3">
      <c r="A30" s="104"/>
      <c r="B30" s="80"/>
      <c r="C30" s="81"/>
      <c r="D30" s="81"/>
      <c r="E30" s="81"/>
      <c r="F30" s="81"/>
      <c r="G30" s="81"/>
      <c r="H30" s="81"/>
      <c r="I30" s="115"/>
    </row>
    <row r="31" spans="1:9" ht="15.6" x14ac:dyDescent="0.3">
      <c r="A31" s="104"/>
      <c r="B31" s="80" t="s">
        <v>219</v>
      </c>
      <c r="C31" s="81" t="s">
        <v>312</v>
      </c>
      <c r="D31" s="81"/>
      <c r="E31" s="81"/>
      <c r="F31" s="81"/>
      <c r="G31" s="267" t="s">
        <v>616</v>
      </c>
      <c r="H31" s="271">
        <f>'WK1 - Identification'!L35</f>
        <v>0</v>
      </c>
      <c r="I31" s="545" t="s">
        <v>615</v>
      </c>
    </row>
    <row r="32" spans="1:9" ht="8.1" customHeight="1" x14ac:dyDescent="0.3">
      <c r="A32" s="104"/>
      <c r="B32" s="80"/>
      <c r="C32" s="81"/>
      <c r="D32" s="81"/>
      <c r="E32" s="81"/>
      <c r="F32" s="81"/>
      <c r="G32" s="81"/>
      <c r="H32" s="81"/>
      <c r="I32" s="115"/>
    </row>
    <row r="33" spans="1:12" ht="11.25" customHeight="1" x14ac:dyDescent="0.3">
      <c r="A33" s="104"/>
      <c r="B33" s="80"/>
      <c r="C33" s="81"/>
      <c r="D33" s="81"/>
      <c r="E33" s="81"/>
      <c r="F33" s="81"/>
      <c r="G33" s="81"/>
      <c r="H33" s="281"/>
      <c r="I33" s="115"/>
    </row>
    <row r="34" spans="1:12" ht="15.6" x14ac:dyDescent="0.3">
      <c r="A34" s="104"/>
      <c r="B34" s="80"/>
      <c r="C34" s="81"/>
      <c r="D34" s="81"/>
      <c r="E34" s="81"/>
      <c r="F34" s="81" t="s">
        <v>34</v>
      </c>
      <c r="G34" s="81"/>
      <c r="H34" s="282">
        <f>H29-H31</f>
        <v>1258</v>
      </c>
      <c r="I34" s="115"/>
    </row>
    <row r="35" spans="1:12" ht="15.6" x14ac:dyDescent="0.3">
      <c r="A35" s="104"/>
      <c r="B35" s="80"/>
      <c r="C35" s="81"/>
      <c r="D35" s="81"/>
      <c r="E35" s="81"/>
      <c r="F35" s="81"/>
      <c r="G35" s="81"/>
      <c r="H35" s="81"/>
      <c r="I35" s="115"/>
    </row>
    <row r="36" spans="1:12" ht="18" thickBot="1" x14ac:dyDescent="0.35">
      <c r="A36" s="104"/>
      <c r="B36" s="81"/>
      <c r="C36" s="80" t="s">
        <v>35</v>
      </c>
      <c r="D36" s="81"/>
      <c r="E36" s="81"/>
      <c r="F36" s="267"/>
      <c r="G36" s="268" t="s">
        <v>71</v>
      </c>
      <c r="H36" s="540">
        <f>H14+H23+H29-H31</f>
        <v>30106542.448675003</v>
      </c>
      <c r="I36" s="115"/>
      <c r="K36" s="381"/>
    </row>
    <row r="37" spans="1:12" ht="15.6" thickTop="1" x14ac:dyDescent="0.25">
      <c r="A37" s="283"/>
      <c r="B37" s="284"/>
      <c r="C37" s="284"/>
      <c r="D37" s="284"/>
      <c r="E37" s="284"/>
      <c r="F37" s="284"/>
      <c r="G37" s="284"/>
      <c r="H37" s="284"/>
      <c r="I37" s="285"/>
      <c r="L37" s="539"/>
    </row>
    <row r="38" spans="1:12" s="381" customFormat="1" ht="15.6" hidden="1" x14ac:dyDescent="0.3">
      <c r="A38" s="388"/>
      <c r="B38" s="389" t="s">
        <v>382</v>
      </c>
      <c r="C38" s="387"/>
      <c r="D38" s="386"/>
      <c r="E38" s="386"/>
      <c r="F38" s="390">
        <f>Total_First_year_Notional_General_Income_Yield</f>
        <v>30104219.586838</v>
      </c>
      <c r="G38" s="386"/>
      <c r="H38" s="386"/>
      <c r="I38" s="391"/>
    </row>
    <row r="39" spans="1:12" s="381" customFormat="1" ht="9.75" hidden="1" customHeight="1" x14ac:dyDescent="0.25">
      <c r="A39" s="388"/>
      <c r="B39" s="392"/>
      <c r="C39" s="385"/>
      <c r="D39" s="386"/>
      <c r="E39" s="386"/>
      <c r="F39" s="386"/>
      <c r="G39" s="386"/>
      <c r="H39" s="386"/>
      <c r="I39" s="391"/>
    </row>
    <row r="40" spans="1:12" s="381" customFormat="1" ht="15" hidden="1" x14ac:dyDescent="0.25">
      <c r="A40" s="388"/>
      <c r="B40" s="386" t="s">
        <v>215</v>
      </c>
      <c r="C40" s="386"/>
      <c r="D40" s="386"/>
      <c r="E40" s="386"/>
      <c r="F40" s="386"/>
      <c r="G40" s="386"/>
      <c r="H40" s="386"/>
      <c r="I40" s="391"/>
    </row>
    <row r="41" spans="1:12" s="381" customFormat="1" ht="15" hidden="1" x14ac:dyDescent="0.25">
      <c r="A41" s="388"/>
      <c r="B41" s="386"/>
      <c r="C41" s="386" t="s">
        <v>383</v>
      </c>
      <c r="D41" s="386"/>
      <c r="E41" s="386"/>
      <c r="F41" s="393">
        <f>'WK3 - Notional GI Yr1 YIELD'!K163</f>
        <v>0</v>
      </c>
      <c r="G41" s="386"/>
      <c r="H41" s="386"/>
      <c r="I41" s="391"/>
    </row>
    <row r="42" spans="1:12" s="381" customFormat="1" ht="8.25" hidden="1" customHeight="1" x14ac:dyDescent="0.25">
      <c r="A42" s="388"/>
      <c r="B42" s="392"/>
      <c r="C42" s="385"/>
      <c r="D42" s="386"/>
      <c r="E42" s="386"/>
      <c r="F42" s="386"/>
      <c r="G42" s="386"/>
      <c r="H42" s="386"/>
      <c r="I42" s="391"/>
    </row>
    <row r="43" spans="1:12" s="381" customFormat="1" ht="18" hidden="1" thickBot="1" x14ac:dyDescent="0.35">
      <c r="A43" s="388"/>
      <c r="B43" s="394" t="s">
        <v>384</v>
      </c>
      <c r="C43" s="386"/>
      <c r="D43" s="386"/>
      <c r="E43" s="386"/>
      <c r="F43" s="386"/>
      <c r="G43" s="395" t="s">
        <v>71</v>
      </c>
      <c r="H43" s="396">
        <f>'WK3 - Notional GI Yr1 YIELD'!K165</f>
        <v>30104219.586838</v>
      </c>
      <c r="I43" s="391"/>
    </row>
    <row r="44" spans="1:12" s="381" customFormat="1" ht="11.25" hidden="1" customHeight="1" thickTop="1" x14ac:dyDescent="0.25">
      <c r="A44" s="388"/>
      <c r="B44" s="386"/>
      <c r="C44" s="386"/>
      <c r="D44" s="386"/>
      <c r="E44" s="386"/>
      <c r="F44" s="386"/>
      <c r="G44" s="386"/>
      <c r="H44" s="386"/>
      <c r="I44" s="391"/>
    </row>
    <row r="45" spans="1:12" s="381" customFormat="1" ht="18" hidden="1" thickBot="1" x14ac:dyDescent="0.35">
      <c r="A45" s="388"/>
      <c r="B45" s="386"/>
      <c r="C45" s="386" t="s">
        <v>36</v>
      </c>
      <c r="D45" s="386"/>
      <c r="E45" s="386"/>
      <c r="F45" s="386"/>
      <c r="G45" s="395" t="s">
        <v>71</v>
      </c>
      <c r="H45" s="397">
        <f>H36-H43</f>
        <v>2322.8618370033801</v>
      </c>
      <c r="I45" s="391"/>
    </row>
    <row r="46" spans="1:12" ht="12.75" hidden="1" customHeight="1" thickTop="1" x14ac:dyDescent="0.25">
      <c r="A46" s="104"/>
      <c r="B46" s="81"/>
      <c r="C46" s="81"/>
      <c r="D46" s="81"/>
      <c r="E46" s="81"/>
      <c r="F46" s="81"/>
      <c r="G46" s="81"/>
      <c r="H46" s="81"/>
      <c r="I46" s="115"/>
    </row>
    <row r="47" spans="1:12" ht="15" hidden="1" customHeight="1" x14ac:dyDescent="0.3">
      <c r="A47" s="283"/>
      <c r="B47" s="127"/>
      <c r="C47" s="128"/>
      <c r="D47" s="129"/>
      <c r="E47" s="93"/>
      <c r="F47" s="93"/>
      <c r="G47" s="284"/>
      <c r="H47" s="284"/>
      <c r="I47" s="285"/>
    </row>
  </sheetData>
  <sheetProtection password="CC77" sheet="1"/>
  <mergeCells count="4">
    <mergeCell ref="B4:H4"/>
    <mergeCell ref="B2:F2"/>
    <mergeCell ref="B6:H6"/>
    <mergeCell ref="B9:H9"/>
  </mergeCells>
  <phoneticPr fontId="17" type="noConversion"/>
  <dataValidations xWindow="719" yWindow="627" count="6">
    <dataValidation type="whole" allowBlank="1" showErrorMessage="1" errorTitle="Invalid number" error="Please round your entry to the nearest whole number." promptTitle="Income Adjustment" prompt="Crown Land adjustment claimed plus income lost due to the 20% Farmland limit, recovered as an income adjustmenmt." sqref="H33 H35">
      <formula1>0</formula1>
      <formula2>100000000</formula2>
    </dataValidation>
    <dataValidation type="whole" allowBlank="1" showErrorMessage="1" errorTitle="Invalid number" error="Please round your entry to the nearest whole number." promptTitle="Income Adjustment" prompt="Crown Land adjustment claimed." sqref="H34">
      <formula1>0</formula1>
      <formula2>100000000</formula2>
    </dataValidation>
    <dataValidation type="whole" allowBlank="1" showInputMessage="1" showErrorMessage="1" errorTitle="Invalid number" error="Please round your entry to the nearest whole number." sqref="H29">
      <formula1>-10000000</formula1>
      <formula2>100000000</formula2>
    </dataValidation>
    <dataValidation type="whole" allowBlank="1" showInputMessage="1" showErrorMessage="1" errorTitle="Invalid number" error="This amount must be a negative whole number." sqref="H31">
      <formula1>-10000000</formula1>
      <formula2>0</formula2>
    </dataValidation>
    <dataValidation type="whole" allowBlank="1" showInputMessage="1" showErrorMessage="1" errorTitle="Invalid number" error="The amount must be a negative whole number." sqref="H12">
      <formula1>-100000000</formula1>
      <formula2>0</formula2>
    </dataValidation>
    <dataValidation allowBlank="1" showInputMessage="1" showErrorMessage="1" promptTitle="Permissible GI vs Notional GI" prompt="Permissable General Income (PGI) reflects the impact of catchups or excess amounts that councils must adjust their income for. PGI may not match the level of Notional General Income (NGI) calculated on WK 3. NGI should be equal to or less than the PGI. " sqref="H36"/>
  </dataValidations>
  <printOptions horizontalCentered="1"/>
  <pageMargins left="0.70866141732283472" right="0.74803149606299213" top="0.77" bottom="0.98425196850393704" header="0.51181102362204722" footer="0.51181102362204722"/>
  <pageSetup paperSize="9" scale="86" fitToHeight="0" orientation="portrait" r:id="rId1"/>
  <headerFooter alignWithMargins="0"/>
  <colBreaks count="1" manualBreakCount="1">
    <brk id="9" max="1048575" man="1"/>
  </colBreaks>
  <cellWatches>
    <cellWatch r="H12"/>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O662"/>
  <sheetViews>
    <sheetView showGridLines="0" view="pageBreakPreview" topLeftCell="B43" zoomScale="90" zoomScaleNormal="100" zoomScaleSheetLayoutView="90" workbookViewId="0">
      <selection activeCell="C1" sqref="C1"/>
    </sheetView>
  </sheetViews>
  <sheetFormatPr defaultRowHeight="11.4" x14ac:dyDescent="0.2"/>
  <cols>
    <col min="1" max="1" width="2.75" hidden="1" customWidth="1"/>
    <col min="2" max="2" width="1" customWidth="1"/>
    <col min="3" max="3" width="12.375" customWidth="1"/>
    <col min="4" max="4" width="21.75" customWidth="1"/>
    <col min="5" max="12" width="12.75" customWidth="1"/>
    <col min="13" max="13" width="1.375" customWidth="1"/>
    <col min="14" max="14" width="12.75" customWidth="1"/>
    <col min="15" max="15" width="9.75" customWidth="1"/>
    <col min="16" max="16" width="12.75" customWidth="1"/>
    <col min="17" max="17" width="9.75" customWidth="1"/>
    <col min="18" max="18" width="12.75" customWidth="1"/>
    <col min="19" max="19" width="9.75" customWidth="1"/>
    <col min="20" max="20" width="12.75" customWidth="1"/>
    <col min="21" max="21" width="9.75" customWidth="1"/>
    <col min="22" max="22" width="12.75" customWidth="1"/>
    <col min="23" max="23" width="9.75" customWidth="1"/>
    <col min="24" max="24" width="12.75" customWidth="1"/>
    <col min="25" max="25" width="9.75" customWidth="1"/>
    <col min="26" max="26" width="12.75" customWidth="1"/>
    <col min="27" max="27" width="9.75" customWidth="1"/>
    <col min="28" max="28" width="12.75" customWidth="1"/>
    <col min="29" max="29" width="9.75" customWidth="1"/>
    <col min="30" max="30" width="12.75" customWidth="1"/>
    <col min="31" max="31" width="9.75" customWidth="1"/>
    <col min="32" max="32" width="12.75" customWidth="1"/>
    <col min="33" max="33" width="9.75" customWidth="1"/>
    <col min="34" max="34" width="12.75" customWidth="1"/>
    <col min="35" max="35" width="9.75" customWidth="1"/>
    <col min="36" max="36" width="12.75" customWidth="1"/>
    <col min="37" max="37" width="9.75" customWidth="1"/>
    <col min="38" max="38" width="12.75" customWidth="1"/>
    <col min="39" max="39" width="9.75" customWidth="1"/>
    <col min="40" max="40" width="0.75" customWidth="1"/>
  </cols>
  <sheetData>
    <row r="1" spans="1:40" x14ac:dyDescent="0.2">
      <c r="A1" s="2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6" x14ac:dyDescent="0.3">
      <c r="A2" s="26"/>
      <c r="B2" s="38"/>
      <c r="C2" s="818" t="str">
        <f>'WK1 - Identification'!E11</f>
        <v>Lismore City Council</v>
      </c>
      <c r="D2" s="769"/>
      <c r="E2" s="769"/>
      <c r="F2" s="769"/>
      <c r="G2" s="770"/>
      <c r="H2" s="207"/>
      <c r="I2" s="207"/>
      <c r="J2" s="207"/>
      <c r="K2" s="207"/>
      <c r="L2" s="207"/>
      <c r="M2" s="207"/>
      <c r="N2" s="38"/>
      <c r="O2" s="38"/>
      <c r="P2" s="38"/>
      <c r="Q2" s="38"/>
      <c r="R2" s="38"/>
      <c r="S2" s="38"/>
      <c r="T2" s="38"/>
      <c r="U2" s="38"/>
      <c r="V2" s="38"/>
      <c r="W2" s="38"/>
      <c r="X2" s="38"/>
      <c r="Y2" s="38"/>
      <c r="Z2" s="38"/>
      <c r="AA2" s="38"/>
      <c r="AB2" s="38"/>
      <c r="AC2" s="38"/>
      <c r="AD2" s="38"/>
      <c r="AE2" s="38"/>
      <c r="AF2" s="38"/>
      <c r="AG2" s="38"/>
      <c r="AH2" s="38"/>
      <c r="AI2" s="38"/>
      <c r="AJ2" s="212"/>
      <c r="AK2" s="212"/>
      <c r="AL2" s="212"/>
      <c r="AM2" s="38"/>
      <c r="AN2" s="38"/>
    </row>
    <row r="3" spans="1:40" x14ac:dyDescent="0.2">
      <c r="A3" s="26"/>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30" x14ac:dyDescent="0.5">
      <c r="A4" s="26"/>
      <c r="B4" s="38"/>
      <c r="C4" s="756" t="s">
        <v>334</v>
      </c>
      <c r="D4" s="756"/>
      <c r="E4" s="756"/>
      <c r="F4" s="756"/>
      <c r="G4" s="756"/>
      <c r="H4" s="756"/>
      <c r="I4" s="756"/>
      <c r="J4" s="756"/>
      <c r="K4" s="756"/>
      <c r="L4" s="756"/>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38"/>
    </row>
    <row r="5" spans="1:40" x14ac:dyDescent="0.2">
      <c r="A5" s="2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2.5" customHeight="1" x14ac:dyDescent="0.3">
      <c r="A6" s="26"/>
      <c r="B6" s="38"/>
      <c r="C6" s="38"/>
      <c r="D6" s="38"/>
      <c r="E6" s="38"/>
      <c r="F6" s="37" t="s">
        <v>729</v>
      </c>
      <c r="G6" s="37"/>
      <c r="H6" s="37"/>
      <c r="I6" s="37"/>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row>
    <row r="7" spans="1:40" ht="22.5" customHeight="1" x14ac:dyDescent="0.2">
      <c r="A7" s="26"/>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row>
    <row r="8" spans="1:40" ht="22.8" x14ac:dyDescent="0.4">
      <c r="A8" s="27"/>
      <c r="B8" s="81"/>
      <c r="C8" s="346" t="s">
        <v>327</v>
      </c>
      <c r="D8" s="208"/>
      <c r="E8" s="208"/>
      <c r="F8" s="208"/>
      <c r="G8" s="208"/>
      <c r="H8" s="208"/>
      <c r="I8" s="208"/>
      <c r="J8" s="208"/>
      <c r="K8" s="208"/>
      <c r="L8" s="208"/>
      <c r="M8" s="38"/>
      <c r="N8" s="38"/>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38"/>
    </row>
    <row r="9" spans="1:40" ht="9.75" customHeight="1" x14ac:dyDescent="0.4">
      <c r="A9" s="27"/>
      <c r="B9" s="81"/>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38"/>
    </row>
    <row r="10" spans="1:40" ht="15.75" customHeight="1" x14ac:dyDescent="0.4">
      <c r="A10" s="26"/>
      <c r="B10" s="38"/>
      <c r="C10" s="203" t="s">
        <v>317</v>
      </c>
      <c r="D10" s="208"/>
      <c r="E10" s="208"/>
      <c r="F10" s="208"/>
      <c r="G10" s="208"/>
      <c r="H10" s="208"/>
      <c r="I10" s="208"/>
      <c r="J10" s="208"/>
      <c r="K10" s="208"/>
      <c r="L10" s="20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row>
    <row r="11" spans="1:40" ht="15.75" customHeight="1" x14ac:dyDescent="0.4">
      <c r="A11" s="26"/>
      <c r="B11" s="38"/>
      <c r="C11" s="203" t="s">
        <v>330</v>
      </c>
      <c r="D11" s="208"/>
      <c r="E11" s="208"/>
      <c r="F11" s="208"/>
      <c r="G11" s="208"/>
      <c r="H11" s="208"/>
      <c r="I11" s="208"/>
      <c r="J11" s="208"/>
      <c r="K11" s="208"/>
      <c r="L11" s="20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row>
    <row r="12" spans="1:40" ht="15.75" customHeight="1" x14ac:dyDescent="0.4">
      <c r="A12" s="26"/>
      <c r="B12" s="38"/>
      <c r="C12" s="203" t="s">
        <v>313</v>
      </c>
      <c r="D12" s="208"/>
      <c r="E12" s="208"/>
      <c r="F12" s="208"/>
      <c r="G12" s="208"/>
      <c r="H12" s="208"/>
      <c r="I12" s="208"/>
      <c r="J12" s="208"/>
      <c r="K12" s="208"/>
      <c r="L12" s="20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row>
    <row r="13" spans="1:40" ht="15.75" customHeight="1" x14ac:dyDescent="0.4">
      <c r="A13" s="26"/>
      <c r="B13" s="38"/>
      <c r="C13" s="203" t="s">
        <v>8</v>
      </c>
      <c r="D13" s="208"/>
      <c r="E13" s="208"/>
      <c r="F13" s="208"/>
      <c r="G13" s="208"/>
      <c r="H13" s="208"/>
      <c r="I13" s="208"/>
      <c r="J13" s="208"/>
      <c r="K13" s="208"/>
      <c r="L13" s="20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row>
    <row r="14" spans="1:40" ht="15.75" customHeight="1" x14ac:dyDescent="0.4">
      <c r="A14" s="26"/>
      <c r="B14" s="38"/>
      <c r="C14" s="116" t="s">
        <v>318</v>
      </c>
      <c r="D14" s="208"/>
      <c r="E14" s="208"/>
      <c r="F14" s="208"/>
      <c r="G14" s="208"/>
      <c r="H14" s="208"/>
      <c r="I14" s="208"/>
      <c r="J14" s="208"/>
      <c r="K14" s="208"/>
      <c r="L14" s="20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row>
    <row r="15" spans="1:40" x14ac:dyDescent="0.2">
      <c r="A15" s="33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row>
    <row r="16" spans="1:40" s="344" customFormat="1" ht="19.5" customHeight="1" x14ac:dyDescent="0.3">
      <c r="A16" s="38"/>
      <c r="B16" s="38"/>
      <c r="C16" s="83" t="s">
        <v>328</v>
      </c>
      <c r="D16" s="81"/>
      <c r="E16" s="81"/>
      <c r="F16" s="81"/>
      <c r="G16" s="81"/>
      <c r="H16" s="81"/>
      <c r="I16" s="81"/>
      <c r="J16" s="81"/>
      <c r="K16" s="81"/>
      <c r="L16" s="272"/>
      <c r="M16" s="272"/>
      <c r="N16" s="81"/>
      <c r="O16" s="81"/>
      <c r="P16" s="81"/>
      <c r="Q16" s="339"/>
      <c r="R16" s="339"/>
      <c r="S16" s="339"/>
      <c r="T16" s="38"/>
      <c r="U16" s="38"/>
      <c r="V16" s="38"/>
      <c r="W16" s="38"/>
      <c r="X16" s="38"/>
      <c r="Y16" s="38"/>
      <c r="Z16" s="38"/>
      <c r="AA16" s="38"/>
      <c r="AB16" s="38"/>
      <c r="AC16" s="38"/>
      <c r="AD16" s="38"/>
      <c r="AE16" s="38"/>
      <c r="AF16" s="38"/>
      <c r="AG16" s="38"/>
      <c r="AH16" s="38"/>
      <c r="AI16" s="38"/>
      <c r="AJ16" s="38"/>
      <c r="AK16" s="38"/>
      <c r="AL16" s="38"/>
      <c r="AM16" s="38"/>
      <c r="AN16" s="38"/>
    </row>
    <row r="17" spans="1:40" s="160" customFormat="1" ht="18.75" customHeight="1" x14ac:dyDescent="0.25">
      <c r="A17" s="36"/>
      <c r="B17" s="38"/>
      <c r="C17" s="81" t="s">
        <v>597</v>
      </c>
      <c r="D17" s="81"/>
      <c r="E17" s="81"/>
      <c r="F17" s="81"/>
      <c r="G17" s="81"/>
      <c r="H17" s="81"/>
      <c r="I17" s="81"/>
      <c r="J17" s="81"/>
      <c r="K17" s="81"/>
      <c r="L17" s="81"/>
      <c r="M17" s="81"/>
      <c r="N17" s="81"/>
      <c r="O17" s="81"/>
      <c r="P17" s="81"/>
      <c r="Q17" s="339"/>
      <c r="R17" s="339"/>
      <c r="S17" s="339"/>
      <c r="T17" s="38"/>
      <c r="U17" s="38"/>
      <c r="V17" s="38"/>
      <c r="W17" s="38"/>
      <c r="X17" s="38"/>
      <c r="Y17" s="38"/>
      <c r="Z17" s="38"/>
      <c r="AA17" s="38"/>
      <c r="AB17" s="38"/>
      <c r="AC17" s="38"/>
      <c r="AD17" s="38"/>
      <c r="AE17" s="38"/>
      <c r="AF17" s="38"/>
      <c r="AG17" s="38"/>
      <c r="AH17" s="38"/>
      <c r="AI17" s="38"/>
      <c r="AJ17" s="38"/>
      <c r="AK17" s="38"/>
      <c r="AL17" s="38"/>
      <c r="AM17" s="38"/>
      <c r="AN17" s="38"/>
    </row>
    <row r="18" spans="1:40" s="160" customFormat="1" ht="15" x14ac:dyDescent="0.25">
      <c r="A18" s="36"/>
      <c r="B18" s="38"/>
      <c r="C18" s="81" t="s">
        <v>596</v>
      </c>
      <c r="D18" s="81"/>
      <c r="E18" s="81"/>
      <c r="F18" s="81"/>
      <c r="G18" s="81"/>
      <c r="H18" s="81"/>
      <c r="I18" s="81"/>
      <c r="J18" s="81"/>
      <c r="K18" s="81"/>
      <c r="L18" s="81"/>
      <c r="M18" s="81"/>
      <c r="N18" s="81"/>
      <c r="O18" s="81"/>
      <c r="P18" s="81"/>
      <c r="Q18" s="339"/>
      <c r="R18" s="339"/>
      <c r="S18" s="339"/>
      <c r="T18" s="38"/>
      <c r="U18" s="38"/>
      <c r="V18" s="38"/>
      <c r="W18" s="38"/>
      <c r="X18" s="38"/>
      <c r="Y18" s="38"/>
      <c r="Z18" s="38"/>
      <c r="AA18" s="38"/>
      <c r="AB18" s="38"/>
      <c r="AC18" s="38"/>
      <c r="AD18" s="38"/>
      <c r="AE18" s="38"/>
      <c r="AF18" s="38"/>
      <c r="AG18" s="38"/>
      <c r="AH18" s="38"/>
      <c r="AI18" s="38"/>
      <c r="AJ18" s="38"/>
      <c r="AK18" s="38"/>
      <c r="AL18" s="38"/>
      <c r="AM18" s="38"/>
      <c r="AN18" s="38"/>
    </row>
    <row r="19" spans="1:40" s="160" customFormat="1" ht="15" x14ac:dyDescent="0.25">
      <c r="A19" s="36"/>
      <c r="B19" s="81"/>
      <c r="C19" s="81" t="s">
        <v>598</v>
      </c>
      <c r="D19" s="81"/>
      <c r="E19" s="81"/>
      <c r="F19" s="81"/>
      <c r="G19" s="81"/>
      <c r="H19" s="81"/>
      <c r="I19" s="81"/>
      <c r="J19" s="81"/>
      <c r="K19" s="81"/>
      <c r="L19" s="81"/>
      <c r="M19" s="81"/>
      <c r="N19" s="81"/>
      <c r="O19" s="81"/>
      <c r="P19" s="81"/>
      <c r="Q19" s="339"/>
      <c r="R19" s="339"/>
      <c r="S19" s="339"/>
      <c r="T19" s="38"/>
      <c r="U19" s="38"/>
      <c r="V19" s="38"/>
      <c r="W19" s="38"/>
      <c r="X19" s="38"/>
      <c r="Y19" s="38"/>
      <c r="Z19" s="38"/>
      <c r="AA19" s="38"/>
      <c r="AB19" s="38"/>
      <c r="AC19" s="38"/>
      <c r="AD19" s="38"/>
      <c r="AE19" s="38"/>
      <c r="AF19" s="38"/>
      <c r="AG19" s="38"/>
      <c r="AH19" s="38"/>
      <c r="AI19" s="38"/>
      <c r="AJ19" s="38"/>
      <c r="AK19" s="38"/>
      <c r="AL19" s="38"/>
      <c r="AM19" s="38"/>
      <c r="AN19" s="38"/>
    </row>
    <row r="20" spans="1:40" s="160" customFormat="1" ht="12.75" customHeight="1" thickBot="1" x14ac:dyDescent="0.3">
      <c r="A20" s="36"/>
      <c r="B20" s="81"/>
      <c r="C20" s="81"/>
      <c r="D20" s="81"/>
      <c r="E20" s="81"/>
      <c r="F20" s="81"/>
      <c r="G20" s="81"/>
      <c r="H20" s="81"/>
      <c r="I20" s="81"/>
      <c r="J20" s="81"/>
      <c r="K20" s="81"/>
      <c r="L20" s="81"/>
      <c r="M20" s="81"/>
      <c r="N20" s="81"/>
      <c r="O20" s="81"/>
      <c r="P20" s="81"/>
      <c r="Q20" s="339"/>
      <c r="R20" s="339"/>
      <c r="S20" s="339"/>
      <c r="T20" s="38"/>
      <c r="U20" s="38"/>
      <c r="V20" s="38"/>
      <c r="W20" s="38"/>
      <c r="X20" s="38"/>
      <c r="Y20" s="38"/>
      <c r="Z20" s="38"/>
      <c r="AA20" s="38"/>
      <c r="AB20" s="38"/>
      <c r="AC20" s="38"/>
      <c r="AD20" s="38"/>
      <c r="AE20" s="38"/>
      <c r="AF20" s="38"/>
      <c r="AG20" s="38"/>
      <c r="AH20" s="38"/>
      <c r="AI20" s="38"/>
      <c r="AJ20" s="38"/>
      <c r="AK20" s="38"/>
      <c r="AL20" s="38"/>
      <c r="AM20" s="38"/>
      <c r="AN20" s="38"/>
    </row>
    <row r="21" spans="1:40" ht="16.5" customHeight="1" thickTop="1" thickBot="1" x14ac:dyDescent="0.35">
      <c r="A21" s="26"/>
      <c r="B21" s="38"/>
      <c r="C21" s="38"/>
      <c r="D21" s="38"/>
      <c r="E21" s="38"/>
      <c r="F21" s="812" t="s">
        <v>689</v>
      </c>
      <c r="G21" s="813"/>
      <c r="H21" s="813"/>
      <c r="I21" s="813"/>
      <c r="J21" s="813"/>
      <c r="K21" s="813"/>
      <c r="L21" s="814"/>
      <c r="M21" s="38"/>
      <c r="N21" s="815" t="s">
        <v>595</v>
      </c>
      <c r="O21" s="816"/>
      <c r="P21" s="816"/>
      <c r="Q21" s="816"/>
      <c r="R21" s="816"/>
      <c r="S21" s="816"/>
      <c r="T21" s="816"/>
      <c r="U21" s="816"/>
      <c r="V21" s="816"/>
      <c r="W21" s="816"/>
      <c r="X21" s="816"/>
      <c r="Y21" s="816"/>
      <c r="Z21" s="816"/>
      <c r="AA21" s="816"/>
      <c r="AB21" s="816"/>
      <c r="AC21" s="816"/>
      <c r="AD21" s="816"/>
      <c r="AE21" s="816"/>
      <c r="AF21" s="816"/>
      <c r="AG21" s="816"/>
      <c r="AH21" s="816"/>
      <c r="AI21" s="816"/>
      <c r="AJ21" s="816"/>
      <c r="AK21" s="816"/>
      <c r="AL21" s="816"/>
      <c r="AM21" s="817"/>
      <c r="AN21" s="38"/>
    </row>
    <row r="22" spans="1:40" s="160" customFormat="1" ht="40.200000000000003" thickTop="1" x14ac:dyDescent="0.25">
      <c r="A22" s="36"/>
      <c r="B22" s="81"/>
      <c r="C22" s="255" t="s">
        <v>220</v>
      </c>
      <c r="D22" s="256" t="s">
        <v>308</v>
      </c>
      <c r="E22" s="257" t="s">
        <v>587</v>
      </c>
      <c r="F22" s="257" t="s">
        <v>588</v>
      </c>
      <c r="G22" s="257" t="s">
        <v>589</v>
      </c>
      <c r="H22" s="257" t="s">
        <v>590</v>
      </c>
      <c r="I22" s="257" t="s">
        <v>591</v>
      </c>
      <c r="J22" s="257" t="s">
        <v>592</v>
      </c>
      <c r="K22" s="257" t="s">
        <v>593</v>
      </c>
      <c r="L22" s="345" t="s">
        <v>594</v>
      </c>
      <c r="M22" s="81"/>
      <c r="N22" s="798" t="s">
        <v>319</v>
      </c>
      <c r="O22" s="800"/>
      <c r="P22" s="798" t="s">
        <v>320</v>
      </c>
      <c r="Q22" s="799"/>
      <c r="R22" s="799"/>
      <c r="S22" s="800"/>
      <c r="T22" s="798" t="s">
        <v>321</v>
      </c>
      <c r="U22" s="799"/>
      <c r="V22" s="799"/>
      <c r="W22" s="800"/>
      <c r="X22" s="798" t="s">
        <v>322</v>
      </c>
      <c r="Y22" s="799"/>
      <c r="Z22" s="799"/>
      <c r="AA22" s="800"/>
      <c r="AB22" s="798" t="s">
        <v>323</v>
      </c>
      <c r="AC22" s="799"/>
      <c r="AD22" s="799"/>
      <c r="AE22" s="800"/>
      <c r="AF22" s="798" t="s">
        <v>324</v>
      </c>
      <c r="AG22" s="799"/>
      <c r="AH22" s="799"/>
      <c r="AI22" s="800"/>
      <c r="AJ22" s="798" t="s">
        <v>325</v>
      </c>
      <c r="AK22" s="799"/>
      <c r="AL22" s="799"/>
      <c r="AM22" s="800"/>
      <c r="AN22" s="38"/>
    </row>
    <row r="23" spans="1:40" s="160" customFormat="1" ht="13.5" customHeight="1" x14ac:dyDescent="0.25">
      <c r="A23" s="36"/>
      <c r="B23" s="81"/>
      <c r="C23" s="260"/>
      <c r="D23" s="261"/>
      <c r="E23" s="629" t="str">
        <f>'WK1 - Identification'!C44</f>
        <v>2017-18</v>
      </c>
      <c r="F23" s="629" t="str">
        <f>'WK1 - Identification'!C45</f>
        <v>2018-19</v>
      </c>
      <c r="G23" s="629" t="str">
        <f>'WK1 - Identification'!C46</f>
        <v>2019-20</v>
      </c>
      <c r="H23" s="629" t="str">
        <f>'WK1 - Identification'!C47</f>
        <v>2020-21</v>
      </c>
      <c r="I23" s="629" t="str">
        <f>'WK1 - Identification'!C48</f>
        <v>2021-22</v>
      </c>
      <c r="J23" s="629" t="str">
        <f>'WK1 - Identification'!C49</f>
        <v>2022-23</v>
      </c>
      <c r="K23" s="630" t="str">
        <f>'WK1 - Identification'!C50</f>
        <v>2023-24</v>
      </c>
      <c r="L23" s="631" t="str">
        <f>'WK1 - Identification'!C51</f>
        <v>2024-25</v>
      </c>
      <c r="M23" s="81"/>
      <c r="N23" s="235" t="s">
        <v>44</v>
      </c>
      <c r="O23" s="232" t="s">
        <v>67</v>
      </c>
      <c r="P23" s="235" t="s">
        <v>44</v>
      </c>
      <c r="Q23" s="231" t="s">
        <v>67</v>
      </c>
      <c r="R23" s="228" t="s">
        <v>45</v>
      </c>
      <c r="S23" s="232" t="s">
        <v>67</v>
      </c>
      <c r="T23" s="235" t="s">
        <v>44</v>
      </c>
      <c r="U23" s="231" t="s">
        <v>67</v>
      </c>
      <c r="V23" s="228" t="s">
        <v>45</v>
      </c>
      <c r="W23" s="232" t="s">
        <v>67</v>
      </c>
      <c r="X23" s="235" t="s">
        <v>44</v>
      </c>
      <c r="Y23" s="231" t="s">
        <v>67</v>
      </c>
      <c r="Z23" s="228" t="s">
        <v>45</v>
      </c>
      <c r="AA23" s="232" t="s">
        <v>67</v>
      </c>
      <c r="AB23" s="235" t="s">
        <v>44</v>
      </c>
      <c r="AC23" s="231" t="s">
        <v>67</v>
      </c>
      <c r="AD23" s="228" t="s">
        <v>45</v>
      </c>
      <c r="AE23" s="227" t="s">
        <v>67</v>
      </c>
      <c r="AF23" s="235" t="s">
        <v>44</v>
      </c>
      <c r="AG23" s="231" t="s">
        <v>67</v>
      </c>
      <c r="AH23" s="228" t="s">
        <v>45</v>
      </c>
      <c r="AI23" s="232" t="s">
        <v>67</v>
      </c>
      <c r="AJ23" s="229" t="s">
        <v>44</v>
      </c>
      <c r="AK23" s="228" t="s">
        <v>67</v>
      </c>
      <c r="AL23" s="229" t="s">
        <v>45</v>
      </c>
      <c r="AM23" s="232" t="s">
        <v>67</v>
      </c>
      <c r="AN23" s="38"/>
    </row>
    <row r="24" spans="1:40" s="160" customFormat="1" ht="15" x14ac:dyDescent="0.25">
      <c r="A24" s="36"/>
      <c r="B24" s="81"/>
      <c r="C24" s="348"/>
      <c r="D24" s="349"/>
      <c r="E24" s="350"/>
      <c r="F24" s="350"/>
      <c r="G24" s="350"/>
      <c r="H24" s="350"/>
      <c r="I24" s="350"/>
      <c r="J24" s="350"/>
      <c r="K24" s="350"/>
      <c r="L24" s="352"/>
      <c r="M24" s="81"/>
      <c r="N24" s="632" t="str">
        <f>IF(F24=0,"",IF(E24=0,"",F24-E24))</f>
        <v/>
      </c>
      <c r="O24" s="633" t="str">
        <f>IF(N24="","",N24/E24)</f>
        <v/>
      </c>
      <c r="P24" s="632" t="str">
        <f>IF(G24=0,"",IF(F24=0,"",G24-F24))</f>
        <v/>
      </c>
      <c r="Q24" s="634" t="str">
        <f>IF(P24="","",P24/F24)</f>
        <v/>
      </c>
      <c r="R24" s="635" t="str">
        <f>IF(P24="","",P24+N24)</f>
        <v/>
      </c>
      <c r="S24" s="633" t="str">
        <f>IF(R24="","",R24/E24)</f>
        <v/>
      </c>
      <c r="T24" s="632" t="str">
        <f>IF(H24=0,"",IF(G24=0,"",H24-G24))</f>
        <v/>
      </c>
      <c r="U24" s="634" t="str">
        <f>IF(T24="","",T24/G24)</f>
        <v/>
      </c>
      <c r="V24" s="635" t="str">
        <f>IF(T24="","",T24+R24)</f>
        <v/>
      </c>
      <c r="W24" s="633" t="str">
        <f>IF(V24="","",V24/E24)</f>
        <v/>
      </c>
      <c r="X24" s="632" t="str">
        <f>IF(I24=0,"",IF(H24=0,"",I24-H24))</f>
        <v/>
      </c>
      <c r="Y24" s="634" t="str">
        <f>IF(X24="","",X24/H24)</f>
        <v/>
      </c>
      <c r="Z24" s="635" t="str">
        <f>IF(X24="","",X24+V24)</f>
        <v/>
      </c>
      <c r="AA24" s="633" t="str">
        <f>IF(Z24="","",Z24/E24)</f>
        <v/>
      </c>
      <c r="AB24" s="632" t="str">
        <f>IF(J24=0,"",IF(I24=0,"",J24-I24))</f>
        <v/>
      </c>
      <c r="AC24" s="634" t="str">
        <f>IF(AB24="","",AB24/I24)</f>
        <v/>
      </c>
      <c r="AD24" s="635" t="str">
        <f>IF(AB24="","",AB24+Z24)</f>
        <v/>
      </c>
      <c r="AE24" s="633" t="str">
        <f>IF(AD24="","",AD24/E24)</f>
        <v/>
      </c>
      <c r="AF24" s="632" t="str">
        <f>IF(K24=0,"",IF(J24=0,"",K24-J24))</f>
        <v/>
      </c>
      <c r="AG24" s="634" t="str">
        <f>IF(AF24="","",AF24/J24)</f>
        <v/>
      </c>
      <c r="AH24" s="635" t="str">
        <f>IF(AF24="","",AF24+AD24)</f>
        <v/>
      </c>
      <c r="AI24" s="633" t="str">
        <f>IF(AH24="","",AH24/E24)</f>
        <v/>
      </c>
      <c r="AJ24" s="632" t="str">
        <f>IF(L24=0,"",IF(K24=0,"",L24-K24))</f>
        <v/>
      </c>
      <c r="AK24" s="636" t="str">
        <f>IF(AJ24="","",AJ24/K24)</f>
        <v/>
      </c>
      <c r="AL24" s="637" t="str">
        <f>IF(AJ24="","",AJ24+AH24)</f>
        <v/>
      </c>
      <c r="AM24" s="633" t="str">
        <f>IF(AL24="","",AL24/E24)</f>
        <v/>
      </c>
      <c r="AN24" s="38"/>
    </row>
    <row r="25" spans="1:40" s="160" customFormat="1" ht="15" x14ac:dyDescent="0.25">
      <c r="A25" s="36"/>
      <c r="B25" s="81"/>
      <c r="C25" s="348"/>
      <c r="D25" s="349"/>
      <c r="E25" s="350"/>
      <c r="F25" s="350"/>
      <c r="G25" s="350"/>
      <c r="H25" s="350"/>
      <c r="I25" s="350"/>
      <c r="J25" s="351"/>
      <c r="K25" s="350"/>
      <c r="L25" s="352"/>
      <c r="M25" s="81"/>
      <c r="N25" s="632" t="str">
        <f t="shared" ref="N25:N53" si="0">IF(F25=0,"",IF(E25=0,"",F25-E25))</f>
        <v/>
      </c>
      <c r="O25" s="633" t="str">
        <f t="shared" ref="O25:O53" si="1">IF(N25="","",N25/E25)</f>
        <v/>
      </c>
      <c r="P25" s="632" t="str">
        <f t="shared" ref="P25:P53" si="2">IF(G25=0,"",IF(F25=0,"",G25-F25))</f>
        <v/>
      </c>
      <c r="Q25" s="634" t="str">
        <f t="shared" ref="Q25:Q53" si="3">IF(P25="","",P25/F25)</f>
        <v/>
      </c>
      <c r="R25" s="635" t="str">
        <f t="shared" ref="R25:R53" si="4">IF(P25="","",P25+N25)</f>
        <v/>
      </c>
      <c r="S25" s="633" t="str">
        <f t="shared" ref="S25:S53" si="5">IF(R25="","",R25/E25)</f>
        <v/>
      </c>
      <c r="T25" s="632" t="str">
        <f t="shared" ref="T25:T53" si="6">IF(H25=0,"",IF(G25=0,"",H25-G25))</f>
        <v/>
      </c>
      <c r="U25" s="634" t="str">
        <f t="shared" ref="U25:U53" si="7">IF(T25="","",T25/G25)</f>
        <v/>
      </c>
      <c r="V25" s="635" t="str">
        <f t="shared" ref="V25:V53" si="8">IF(T25="","",T25+R25)</f>
        <v/>
      </c>
      <c r="W25" s="633" t="str">
        <f t="shared" ref="W25:W53" si="9">IF(V25="","",V25/E25)</f>
        <v/>
      </c>
      <c r="X25" s="632" t="str">
        <f t="shared" ref="X25:X53" si="10">IF(I25=0,"",IF(H25=0,"",I25-H25))</f>
        <v/>
      </c>
      <c r="Y25" s="634" t="str">
        <f t="shared" ref="Y25:Y53" si="11">IF(X25="","",X25/H25)</f>
        <v/>
      </c>
      <c r="Z25" s="635" t="str">
        <f t="shared" ref="Z25:Z53" si="12">IF(X25="","",X25+V25)</f>
        <v/>
      </c>
      <c r="AA25" s="633" t="str">
        <f t="shared" ref="AA25:AA53" si="13">IF(Z25="","",Z25/E25)</f>
        <v/>
      </c>
      <c r="AB25" s="632" t="str">
        <f t="shared" ref="AB25:AB53" si="14">IF(J25=0,"",IF(I25=0,"",J25-I25))</f>
        <v/>
      </c>
      <c r="AC25" s="634" t="str">
        <f t="shared" ref="AC25:AC53" si="15">IF(AB25="","",AB25/I25)</f>
        <v/>
      </c>
      <c r="AD25" s="635" t="str">
        <f t="shared" ref="AD25:AD53" si="16">IF(AB25="","",AB25+Z25)</f>
        <v/>
      </c>
      <c r="AE25" s="633" t="str">
        <f t="shared" ref="AE25:AE53" si="17">IF(AD25="","",AD25/E25)</f>
        <v/>
      </c>
      <c r="AF25" s="632" t="str">
        <f t="shared" ref="AF25:AF53" si="18">IF(K25=0,"",IF(J25=0,"",K25-J25))</f>
        <v/>
      </c>
      <c r="AG25" s="634" t="str">
        <f t="shared" ref="AG25:AG53" si="19">IF(AF25="","",AF25/J25)</f>
        <v/>
      </c>
      <c r="AH25" s="635" t="str">
        <f t="shared" ref="AH25:AH53" si="20">IF(AF25="","",AF25+AD25)</f>
        <v/>
      </c>
      <c r="AI25" s="633" t="str">
        <f t="shared" ref="AI25:AI53" si="21">IF(AH25="","",AH25/E25)</f>
        <v/>
      </c>
      <c r="AJ25" s="632" t="str">
        <f t="shared" ref="AJ25:AJ52" si="22">IF(L25=0,"",IF(K25=0,"",L25-K25))</f>
        <v/>
      </c>
      <c r="AK25" s="636" t="str">
        <f t="shared" ref="AK25:AK53" si="23">IF(AJ25="","",AJ25/K25)</f>
        <v/>
      </c>
      <c r="AL25" s="637" t="str">
        <f t="shared" ref="AL25:AL53" si="24">IF(AJ25="","",AJ25+AH25)</f>
        <v/>
      </c>
      <c r="AM25" s="633" t="str">
        <f t="shared" ref="AM25:AM53" si="25">IF(AL25="","",AL25/E25)</f>
        <v/>
      </c>
      <c r="AN25" s="38"/>
    </row>
    <row r="26" spans="1:40" s="160" customFormat="1" ht="15" x14ac:dyDescent="0.25">
      <c r="A26" s="36"/>
      <c r="B26" s="81"/>
      <c r="C26" s="348"/>
      <c r="D26" s="349"/>
      <c r="E26" s="350"/>
      <c r="F26" s="350"/>
      <c r="G26" s="350"/>
      <c r="H26" s="350"/>
      <c r="I26" s="350"/>
      <c r="J26" s="351"/>
      <c r="K26" s="350"/>
      <c r="L26" s="352"/>
      <c r="M26" s="81"/>
      <c r="N26" s="632" t="str">
        <f t="shared" si="0"/>
        <v/>
      </c>
      <c r="O26" s="633" t="str">
        <f t="shared" si="1"/>
        <v/>
      </c>
      <c r="P26" s="632" t="str">
        <f t="shared" si="2"/>
        <v/>
      </c>
      <c r="Q26" s="634" t="str">
        <f t="shared" si="3"/>
        <v/>
      </c>
      <c r="R26" s="635" t="str">
        <f t="shared" si="4"/>
        <v/>
      </c>
      <c r="S26" s="633" t="str">
        <f t="shared" si="5"/>
        <v/>
      </c>
      <c r="T26" s="632" t="str">
        <f t="shared" si="6"/>
        <v/>
      </c>
      <c r="U26" s="634" t="str">
        <f t="shared" si="7"/>
        <v/>
      </c>
      <c r="V26" s="635" t="str">
        <f t="shared" si="8"/>
        <v/>
      </c>
      <c r="W26" s="633" t="str">
        <f t="shared" si="9"/>
        <v/>
      </c>
      <c r="X26" s="632" t="str">
        <f t="shared" si="10"/>
        <v/>
      </c>
      <c r="Y26" s="634" t="str">
        <f t="shared" si="11"/>
        <v/>
      </c>
      <c r="Z26" s="635" t="str">
        <f t="shared" si="12"/>
        <v/>
      </c>
      <c r="AA26" s="633" t="str">
        <f t="shared" si="13"/>
        <v/>
      </c>
      <c r="AB26" s="632" t="str">
        <f t="shared" si="14"/>
        <v/>
      </c>
      <c r="AC26" s="634" t="str">
        <f t="shared" si="15"/>
        <v/>
      </c>
      <c r="AD26" s="635" t="str">
        <f t="shared" si="16"/>
        <v/>
      </c>
      <c r="AE26" s="633" t="str">
        <f t="shared" si="17"/>
        <v/>
      </c>
      <c r="AF26" s="632" t="str">
        <f t="shared" si="18"/>
        <v/>
      </c>
      <c r="AG26" s="634" t="str">
        <f t="shared" si="19"/>
        <v/>
      </c>
      <c r="AH26" s="635" t="str">
        <f t="shared" si="20"/>
        <v/>
      </c>
      <c r="AI26" s="633" t="str">
        <f t="shared" si="21"/>
        <v/>
      </c>
      <c r="AJ26" s="632" t="str">
        <f t="shared" si="22"/>
        <v/>
      </c>
      <c r="AK26" s="636" t="str">
        <f t="shared" si="23"/>
        <v/>
      </c>
      <c r="AL26" s="637" t="str">
        <f t="shared" si="24"/>
        <v/>
      </c>
      <c r="AM26" s="633" t="str">
        <f t="shared" si="25"/>
        <v/>
      </c>
      <c r="AN26" s="38"/>
    </row>
    <row r="27" spans="1:40" s="160" customFormat="1" ht="15" x14ac:dyDescent="0.25">
      <c r="A27" s="36"/>
      <c r="B27" s="81"/>
      <c r="C27" s="348"/>
      <c r="D27" s="349"/>
      <c r="E27" s="350"/>
      <c r="F27" s="350"/>
      <c r="G27" s="350"/>
      <c r="H27" s="350"/>
      <c r="I27" s="350"/>
      <c r="J27" s="351"/>
      <c r="K27" s="350"/>
      <c r="L27" s="352"/>
      <c r="M27" s="81"/>
      <c r="N27" s="632" t="str">
        <f t="shared" si="0"/>
        <v/>
      </c>
      <c r="O27" s="633" t="str">
        <f t="shared" si="1"/>
        <v/>
      </c>
      <c r="P27" s="632" t="str">
        <f t="shared" si="2"/>
        <v/>
      </c>
      <c r="Q27" s="634" t="str">
        <f t="shared" si="3"/>
        <v/>
      </c>
      <c r="R27" s="635" t="str">
        <f t="shared" si="4"/>
        <v/>
      </c>
      <c r="S27" s="633" t="str">
        <f t="shared" si="5"/>
        <v/>
      </c>
      <c r="T27" s="632" t="str">
        <f t="shared" si="6"/>
        <v/>
      </c>
      <c r="U27" s="634" t="str">
        <f t="shared" si="7"/>
        <v/>
      </c>
      <c r="V27" s="635" t="str">
        <f t="shared" si="8"/>
        <v/>
      </c>
      <c r="W27" s="633" t="str">
        <f t="shared" si="9"/>
        <v/>
      </c>
      <c r="X27" s="632" t="str">
        <f t="shared" si="10"/>
        <v/>
      </c>
      <c r="Y27" s="634" t="str">
        <f t="shared" si="11"/>
        <v/>
      </c>
      <c r="Z27" s="635" t="str">
        <f t="shared" si="12"/>
        <v/>
      </c>
      <c r="AA27" s="633" t="str">
        <f t="shared" si="13"/>
        <v/>
      </c>
      <c r="AB27" s="632" t="str">
        <f t="shared" si="14"/>
        <v/>
      </c>
      <c r="AC27" s="634" t="str">
        <f t="shared" si="15"/>
        <v/>
      </c>
      <c r="AD27" s="635" t="str">
        <f t="shared" si="16"/>
        <v/>
      </c>
      <c r="AE27" s="633" t="str">
        <f t="shared" si="17"/>
        <v/>
      </c>
      <c r="AF27" s="632" t="str">
        <f t="shared" si="18"/>
        <v/>
      </c>
      <c r="AG27" s="634" t="str">
        <f t="shared" si="19"/>
        <v/>
      </c>
      <c r="AH27" s="635" t="str">
        <f t="shared" si="20"/>
        <v/>
      </c>
      <c r="AI27" s="633" t="str">
        <f t="shared" si="21"/>
        <v/>
      </c>
      <c r="AJ27" s="632" t="str">
        <f t="shared" si="22"/>
        <v/>
      </c>
      <c r="AK27" s="636" t="str">
        <f t="shared" si="23"/>
        <v/>
      </c>
      <c r="AL27" s="637" t="str">
        <f t="shared" si="24"/>
        <v/>
      </c>
      <c r="AM27" s="633" t="str">
        <f t="shared" si="25"/>
        <v/>
      </c>
      <c r="AN27" s="38"/>
    </row>
    <row r="28" spans="1:40" s="160" customFormat="1" ht="15" x14ac:dyDescent="0.25">
      <c r="A28" s="36"/>
      <c r="B28" s="81"/>
      <c r="C28" s="348"/>
      <c r="D28" s="349"/>
      <c r="E28" s="350"/>
      <c r="F28" s="350"/>
      <c r="G28" s="350"/>
      <c r="H28" s="350"/>
      <c r="I28" s="350"/>
      <c r="J28" s="351"/>
      <c r="K28" s="350"/>
      <c r="L28" s="352"/>
      <c r="M28" s="81"/>
      <c r="N28" s="632" t="str">
        <f t="shared" si="0"/>
        <v/>
      </c>
      <c r="O28" s="633" t="str">
        <f t="shared" si="1"/>
        <v/>
      </c>
      <c r="P28" s="632" t="str">
        <f t="shared" si="2"/>
        <v/>
      </c>
      <c r="Q28" s="634" t="str">
        <f t="shared" si="3"/>
        <v/>
      </c>
      <c r="R28" s="635" t="str">
        <f t="shared" si="4"/>
        <v/>
      </c>
      <c r="S28" s="633" t="str">
        <f t="shared" si="5"/>
        <v/>
      </c>
      <c r="T28" s="632" t="str">
        <f t="shared" si="6"/>
        <v/>
      </c>
      <c r="U28" s="634" t="str">
        <f t="shared" si="7"/>
        <v/>
      </c>
      <c r="V28" s="635" t="str">
        <f t="shared" si="8"/>
        <v/>
      </c>
      <c r="W28" s="633" t="str">
        <f t="shared" si="9"/>
        <v/>
      </c>
      <c r="X28" s="632" t="str">
        <f t="shared" si="10"/>
        <v/>
      </c>
      <c r="Y28" s="634" t="str">
        <f t="shared" si="11"/>
        <v/>
      </c>
      <c r="Z28" s="635" t="str">
        <f t="shared" si="12"/>
        <v/>
      </c>
      <c r="AA28" s="633" t="str">
        <f t="shared" si="13"/>
        <v/>
      </c>
      <c r="AB28" s="632" t="str">
        <f t="shared" si="14"/>
        <v/>
      </c>
      <c r="AC28" s="634" t="str">
        <f t="shared" si="15"/>
        <v/>
      </c>
      <c r="AD28" s="635" t="str">
        <f t="shared" si="16"/>
        <v/>
      </c>
      <c r="AE28" s="633" t="str">
        <f t="shared" si="17"/>
        <v/>
      </c>
      <c r="AF28" s="632" t="str">
        <f t="shared" si="18"/>
        <v/>
      </c>
      <c r="AG28" s="634" t="str">
        <f t="shared" si="19"/>
        <v/>
      </c>
      <c r="AH28" s="635" t="str">
        <f t="shared" si="20"/>
        <v/>
      </c>
      <c r="AI28" s="633" t="str">
        <f t="shared" si="21"/>
        <v/>
      </c>
      <c r="AJ28" s="632" t="str">
        <f t="shared" si="22"/>
        <v/>
      </c>
      <c r="AK28" s="636" t="str">
        <f t="shared" si="23"/>
        <v/>
      </c>
      <c r="AL28" s="637" t="str">
        <f t="shared" si="24"/>
        <v/>
      </c>
      <c r="AM28" s="633" t="str">
        <f t="shared" si="25"/>
        <v/>
      </c>
      <c r="AN28" s="38"/>
    </row>
    <row r="29" spans="1:40" s="160" customFormat="1" ht="15" x14ac:dyDescent="0.25">
      <c r="A29" s="36"/>
      <c r="B29" s="81"/>
      <c r="C29" s="348"/>
      <c r="D29" s="349"/>
      <c r="E29" s="350"/>
      <c r="F29" s="350"/>
      <c r="G29" s="350"/>
      <c r="H29" s="350"/>
      <c r="I29" s="350"/>
      <c r="J29" s="351"/>
      <c r="K29" s="350"/>
      <c r="L29" s="352"/>
      <c r="M29" s="81"/>
      <c r="N29" s="632" t="str">
        <f t="shared" si="0"/>
        <v/>
      </c>
      <c r="O29" s="633" t="str">
        <f t="shared" si="1"/>
        <v/>
      </c>
      <c r="P29" s="632" t="str">
        <f t="shared" si="2"/>
        <v/>
      </c>
      <c r="Q29" s="634" t="str">
        <f t="shared" si="3"/>
        <v/>
      </c>
      <c r="R29" s="635" t="str">
        <f t="shared" si="4"/>
        <v/>
      </c>
      <c r="S29" s="633" t="str">
        <f t="shared" si="5"/>
        <v/>
      </c>
      <c r="T29" s="632" t="str">
        <f t="shared" si="6"/>
        <v/>
      </c>
      <c r="U29" s="634" t="str">
        <f t="shared" si="7"/>
        <v/>
      </c>
      <c r="V29" s="635" t="str">
        <f t="shared" si="8"/>
        <v/>
      </c>
      <c r="W29" s="633" t="str">
        <f t="shared" si="9"/>
        <v/>
      </c>
      <c r="X29" s="632" t="str">
        <f t="shared" si="10"/>
        <v/>
      </c>
      <c r="Y29" s="634" t="str">
        <f t="shared" si="11"/>
        <v/>
      </c>
      <c r="Z29" s="635" t="str">
        <f t="shared" si="12"/>
        <v/>
      </c>
      <c r="AA29" s="633" t="str">
        <f t="shared" si="13"/>
        <v/>
      </c>
      <c r="AB29" s="632" t="str">
        <f t="shared" si="14"/>
        <v/>
      </c>
      <c r="AC29" s="634" t="str">
        <f t="shared" si="15"/>
        <v/>
      </c>
      <c r="AD29" s="635" t="str">
        <f t="shared" si="16"/>
        <v/>
      </c>
      <c r="AE29" s="633" t="str">
        <f t="shared" si="17"/>
        <v/>
      </c>
      <c r="AF29" s="632" t="str">
        <f t="shared" si="18"/>
        <v/>
      </c>
      <c r="AG29" s="634" t="str">
        <f t="shared" si="19"/>
        <v/>
      </c>
      <c r="AH29" s="635" t="str">
        <f t="shared" si="20"/>
        <v/>
      </c>
      <c r="AI29" s="633" t="str">
        <f t="shared" si="21"/>
        <v/>
      </c>
      <c r="AJ29" s="632" t="str">
        <f t="shared" si="22"/>
        <v/>
      </c>
      <c r="AK29" s="636" t="str">
        <f t="shared" si="23"/>
        <v/>
      </c>
      <c r="AL29" s="637" t="str">
        <f t="shared" si="24"/>
        <v/>
      </c>
      <c r="AM29" s="633" t="str">
        <f t="shared" si="25"/>
        <v/>
      </c>
      <c r="AN29" s="38"/>
    </row>
    <row r="30" spans="1:40" s="160" customFormat="1" ht="15" x14ac:dyDescent="0.25">
      <c r="A30" s="36"/>
      <c r="B30" s="81"/>
      <c r="C30" s="348"/>
      <c r="D30" s="349"/>
      <c r="E30" s="350"/>
      <c r="F30" s="350"/>
      <c r="G30" s="350"/>
      <c r="H30" s="350"/>
      <c r="I30" s="350"/>
      <c r="J30" s="351"/>
      <c r="K30" s="350"/>
      <c r="L30" s="352"/>
      <c r="M30" s="81"/>
      <c r="N30" s="632" t="str">
        <f t="shared" si="0"/>
        <v/>
      </c>
      <c r="O30" s="633" t="str">
        <f t="shared" si="1"/>
        <v/>
      </c>
      <c r="P30" s="632" t="str">
        <f t="shared" si="2"/>
        <v/>
      </c>
      <c r="Q30" s="634" t="str">
        <f t="shared" si="3"/>
        <v/>
      </c>
      <c r="R30" s="635" t="str">
        <f t="shared" si="4"/>
        <v/>
      </c>
      <c r="S30" s="633" t="str">
        <f t="shared" si="5"/>
        <v/>
      </c>
      <c r="T30" s="632" t="str">
        <f t="shared" si="6"/>
        <v/>
      </c>
      <c r="U30" s="634" t="str">
        <f t="shared" si="7"/>
        <v/>
      </c>
      <c r="V30" s="635" t="str">
        <f t="shared" si="8"/>
        <v/>
      </c>
      <c r="W30" s="633" t="str">
        <f t="shared" si="9"/>
        <v/>
      </c>
      <c r="X30" s="632" t="str">
        <f t="shared" si="10"/>
        <v/>
      </c>
      <c r="Y30" s="634" t="str">
        <f t="shared" si="11"/>
        <v/>
      </c>
      <c r="Z30" s="635" t="str">
        <f t="shared" si="12"/>
        <v/>
      </c>
      <c r="AA30" s="633" t="str">
        <f t="shared" si="13"/>
        <v/>
      </c>
      <c r="AB30" s="632" t="str">
        <f t="shared" si="14"/>
        <v/>
      </c>
      <c r="AC30" s="634" t="str">
        <f t="shared" si="15"/>
        <v/>
      </c>
      <c r="AD30" s="635" t="str">
        <f t="shared" si="16"/>
        <v/>
      </c>
      <c r="AE30" s="633" t="str">
        <f t="shared" si="17"/>
        <v/>
      </c>
      <c r="AF30" s="632" t="str">
        <f t="shared" si="18"/>
        <v/>
      </c>
      <c r="AG30" s="634" t="str">
        <f t="shared" si="19"/>
        <v/>
      </c>
      <c r="AH30" s="635" t="str">
        <f t="shared" si="20"/>
        <v/>
      </c>
      <c r="AI30" s="633" t="str">
        <f t="shared" si="21"/>
        <v/>
      </c>
      <c r="AJ30" s="632" t="str">
        <f t="shared" si="22"/>
        <v/>
      </c>
      <c r="AK30" s="636" t="str">
        <f t="shared" si="23"/>
        <v/>
      </c>
      <c r="AL30" s="637" t="str">
        <f t="shared" si="24"/>
        <v/>
      </c>
      <c r="AM30" s="633" t="str">
        <f t="shared" si="25"/>
        <v/>
      </c>
      <c r="AN30" s="38"/>
    </row>
    <row r="31" spans="1:40" s="160" customFormat="1" ht="15" x14ac:dyDescent="0.25">
      <c r="A31" s="36"/>
      <c r="B31" s="81"/>
      <c r="C31" s="348"/>
      <c r="D31" s="349"/>
      <c r="E31" s="350"/>
      <c r="F31" s="350"/>
      <c r="G31" s="350"/>
      <c r="H31" s="350"/>
      <c r="I31" s="350"/>
      <c r="J31" s="351"/>
      <c r="K31" s="350"/>
      <c r="L31" s="352"/>
      <c r="M31" s="81"/>
      <c r="N31" s="632" t="str">
        <f t="shared" si="0"/>
        <v/>
      </c>
      <c r="O31" s="633" t="str">
        <f t="shared" si="1"/>
        <v/>
      </c>
      <c r="P31" s="632" t="str">
        <f t="shared" si="2"/>
        <v/>
      </c>
      <c r="Q31" s="634" t="str">
        <f t="shared" si="3"/>
        <v/>
      </c>
      <c r="R31" s="635" t="str">
        <f t="shared" si="4"/>
        <v/>
      </c>
      <c r="S31" s="633" t="str">
        <f t="shared" si="5"/>
        <v/>
      </c>
      <c r="T31" s="632" t="str">
        <f t="shared" si="6"/>
        <v/>
      </c>
      <c r="U31" s="634" t="str">
        <f t="shared" si="7"/>
        <v/>
      </c>
      <c r="V31" s="635" t="str">
        <f t="shared" si="8"/>
        <v/>
      </c>
      <c r="W31" s="633" t="str">
        <f t="shared" si="9"/>
        <v/>
      </c>
      <c r="X31" s="632" t="str">
        <f t="shared" si="10"/>
        <v/>
      </c>
      <c r="Y31" s="634" t="str">
        <f t="shared" si="11"/>
        <v/>
      </c>
      <c r="Z31" s="635" t="str">
        <f t="shared" si="12"/>
        <v/>
      </c>
      <c r="AA31" s="633" t="str">
        <f t="shared" si="13"/>
        <v/>
      </c>
      <c r="AB31" s="632" t="str">
        <f t="shared" si="14"/>
        <v/>
      </c>
      <c r="AC31" s="634" t="str">
        <f t="shared" si="15"/>
        <v/>
      </c>
      <c r="AD31" s="635" t="str">
        <f t="shared" si="16"/>
        <v/>
      </c>
      <c r="AE31" s="633" t="str">
        <f t="shared" si="17"/>
        <v/>
      </c>
      <c r="AF31" s="632" t="str">
        <f t="shared" si="18"/>
        <v/>
      </c>
      <c r="AG31" s="634" t="str">
        <f t="shared" si="19"/>
        <v/>
      </c>
      <c r="AH31" s="635" t="str">
        <f t="shared" si="20"/>
        <v/>
      </c>
      <c r="AI31" s="633" t="str">
        <f t="shared" si="21"/>
        <v/>
      </c>
      <c r="AJ31" s="632" t="str">
        <f t="shared" si="22"/>
        <v/>
      </c>
      <c r="AK31" s="636" t="str">
        <f t="shared" si="23"/>
        <v/>
      </c>
      <c r="AL31" s="637" t="str">
        <f t="shared" si="24"/>
        <v/>
      </c>
      <c r="AM31" s="633" t="str">
        <f t="shared" si="25"/>
        <v/>
      </c>
      <c r="AN31" s="38"/>
    </row>
    <row r="32" spans="1:40" s="160" customFormat="1" ht="15" x14ac:dyDescent="0.25">
      <c r="A32" s="36"/>
      <c r="B32" s="81"/>
      <c r="C32" s="348"/>
      <c r="D32" s="349"/>
      <c r="E32" s="350"/>
      <c r="F32" s="350"/>
      <c r="G32" s="350"/>
      <c r="H32" s="350"/>
      <c r="I32" s="350"/>
      <c r="J32" s="351"/>
      <c r="K32" s="350"/>
      <c r="L32" s="352"/>
      <c r="M32" s="81"/>
      <c r="N32" s="632" t="str">
        <f t="shared" si="0"/>
        <v/>
      </c>
      <c r="O32" s="633" t="str">
        <f t="shared" si="1"/>
        <v/>
      </c>
      <c r="P32" s="632" t="str">
        <f t="shared" si="2"/>
        <v/>
      </c>
      <c r="Q32" s="634" t="str">
        <f t="shared" si="3"/>
        <v/>
      </c>
      <c r="R32" s="635" t="str">
        <f t="shared" si="4"/>
        <v/>
      </c>
      <c r="S32" s="633" t="str">
        <f t="shared" si="5"/>
        <v/>
      </c>
      <c r="T32" s="632" t="str">
        <f t="shared" si="6"/>
        <v/>
      </c>
      <c r="U32" s="634" t="str">
        <f t="shared" si="7"/>
        <v/>
      </c>
      <c r="V32" s="635" t="str">
        <f t="shared" si="8"/>
        <v/>
      </c>
      <c r="W32" s="633" t="str">
        <f t="shared" si="9"/>
        <v/>
      </c>
      <c r="X32" s="632" t="str">
        <f t="shared" si="10"/>
        <v/>
      </c>
      <c r="Y32" s="634" t="str">
        <f t="shared" si="11"/>
        <v/>
      </c>
      <c r="Z32" s="635" t="str">
        <f t="shared" si="12"/>
        <v/>
      </c>
      <c r="AA32" s="633" t="str">
        <f t="shared" si="13"/>
        <v/>
      </c>
      <c r="AB32" s="632" t="str">
        <f t="shared" si="14"/>
        <v/>
      </c>
      <c r="AC32" s="634" t="str">
        <f t="shared" si="15"/>
        <v/>
      </c>
      <c r="AD32" s="635" t="str">
        <f t="shared" si="16"/>
        <v/>
      </c>
      <c r="AE32" s="633" t="str">
        <f t="shared" si="17"/>
        <v/>
      </c>
      <c r="AF32" s="632" t="str">
        <f t="shared" si="18"/>
        <v/>
      </c>
      <c r="AG32" s="634" t="str">
        <f t="shared" si="19"/>
        <v/>
      </c>
      <c r="AH32" s="635" t="str">
        <f t="shared" si="20"/>
        <v/>
      </c>
      <c r="AI32" s="633" t="str">
        <f t="shared" si="21"/>
        <v/>
      </c>
      <c r="AJ32" s="632" t="str">
        <f t="shared" si="22"/>
        <v/>
      </c>
      <c r="AK32" s="636" t="str">
        <f t="shared" si="23"/>
        <v/>
      </c>
      <c r="AL32" s="637" t="str">
        <f t="shared" si="24"/>
        <v/>
      </c>
      <c r="AM32" s="633" t="str">
        <f t="shared" si="25"/>
        <v/>
      </c>
      <c r="AN32" s="38"/>
    </row>
    <row r="33" spans="1:40" s="160" customFormat="1" ht="15" x14ac:dyDescent="0.25">
      <c r="A33" s="36"/>
      <c r="B33" s="81"/>
      <c r="C33" s="348"/>
      <c r="D33" s="349"/>
      <c r="E33" s="350"/>
      <c r="F33" s="350"/>
      <c r="G33" s="350"/>
      <c r="H33" s="350"/>
      <c r="I33" s="350"/>
      <c r="J33" s="351"/>
      <c r="K33" s="350"/>
      <c r="L33" s="352"/>
      <c r="M33" s="81"/>
      <c r="N33" s="632" t="str">
        <f t="shared" si="0"/>
        <v/>
      </c>
      <c r="O33" s="633" t="str">
        <f t="shared" si="1"/>
        <v/>
      </c>
      <c r="P33" s="632" t="str">
        <f t="shared" si="2"/>
        <v/>
      </c>
      <c r="Q33" s="634" t="str">
        <f t="shared" si="3"/>
        <v/>
      </c>
      <c r="R33" s="635" t="str">
        <f t="shared" si="4"/>
        <v/>
      </c>
      <c r="S33" s="633" t="str">
        <f t="shared" si="5"/>
        <v/>
      </c>
      <c r="T33" s="632" t="str">
        <f t="shared" si="6"/>
        <v/>
      </c>
      <c r="U33" s="634" t="str">
        <f t="shared" si="7"/>
        <v/>
      </c>
      <c r="V33" s="635" t="str">
        <f t="shared" si="8"/>
        <v/>
      </c>
      <c r="W33" s="633" t="str">
        <f t="shared" si="9"/>
        <v/>
      </c>
      <c r="X33" s="632" t="str">
        <f t="shared" si="10"/>
        <v/>
      </c>
      <c r="Y33" s="634" t="str">
        <f t="shared" si="11"/>
        <v/>
      </c>
      <c r="Z33" s="635" t="str">
        <f t="shared" si="12"/>
        <v/>
      </c>
      <c r="AA33" s="633" t="str">
        <f t="shared" si="13"/>
        <v/>
      </c>
      <c r="AB33" s="632" t="str">
        <f t="shared" si="14"/>
        <v/>
      </c>
      <c r="AC33" s="634" t="str">
        <f t="shared" si="15"/>
        <v/>
      </c>
      <c r="AD33" s="635" t="str">
        <f t="shared" si="16"/>
        <v/>
      </c>
      <c r="AE33" s="633" t="str">
        <f t="shared" si="17"/>
        <v/>
      </c>
      <c r="AF33" s="632" t="str">
        <f t="shared" si="18"/>
        <v/>
      </c>
      <c r="AG33" s="634" t="str">
        <f t="shared" si="19"/>
        <v/>
      </c>
      <c r="AH33" s="635" t="str">
        <f t="shared" si="20"/>
        <v/>
      </c>
      <c r="AI33" s="633" t="str">
        <f t="shared" si="21"/>
        <v/>
      </c>
      <c r="AJ33" s="632" t="str">
        <f t="shared" si="22"/>
        <v/>
      </c>
      <c r="AK33" s="636" t="str">
        <f t="shared" si="23"/>
        <v/>
      </c>
      <c r="AL33" s="637" t="str">
        <f t="shared" si="24"/>
        <v/>
      </c>
      <c r="AM33" s="633" t="str">
        <f t="shared" si="25"/>
        <v/>
      </c>
      <c r="AN33" s="38"/>
    </row>
    <row r="34" spans="1:40" s="160" customFormat="1" ht="15" x14ac:dyDescent="0.25">
      <c r="A34" s="36"/>
      <c r="B34" s="81"/>
      <c r="C34" s="348"/>
      <c r="D34" s="349"/>
      <c r="E34" s="350"/>
      <c r="F34" s="350"/>
      <c r="G34" s="350"/>
      <c r="H34" s="350"/>
      <c r="I34" s="350"/>
      <c r="J34" s="351"/>
      <c r="K34" s="350"/>
      <c r="L34" s="352"/>
      <c r="M34" s="81"/>
      <c r="N34" s="632" t="str">
        <f t="shared" si="0"/>
        <v/>
      </c>
      <c r="O34" s="633" t="str">
        <f t="shared" si="1"/>
        <v/>
      </c>
      <c r="P34" s="632" t="str">
        <f t="shared" si="2"/>
        <v/>
      </c>
      <c r="Q34" s="634" t="str">
        <f t="shared" si="3"/>
        <v/>
      </c>
      <c r="R34" s="635" t="str">
        <f t="shared" si="4"/>
        <v/>
      </c>
      <c r="S34" s="633" t="str">
        <f t="shared" si="5"/>
        <v/>
      </c>
      <c r="T34" s="632" t="str">
        <f t="shared" si="6"/>
        <v/>
      </c>
      <c r="U34" s="634" t="str">
        <f t="shared" si="7"/>
        <v/>
      </c>
      <c r="V34" s="635" t="str">
        <f t="shared" si="8"/>
        <v/>
      </c>
      <c r="W34" s="633" t="str">
        <f t="shared" si="9"/>
        <v/>
      </c>
      <c r="X34" s="632" t="str">
        <f t="shared" si="10"/>
        <v/>
      </c>
      <c r="Y34" s="634" t="str">
        <f t="shared" si="11"/>
        <v/>
      </c>
      <c r="Z34" s="635" t="str">
        <f t="shared" si="12"/>
        <v/>
      </c>
      <c r="AA34" s="633" t="str">
        <f t="shared" si="13"/>
        <v/>
      </c>
      <c r="AB34" s="632" t="str">
        <f t="shared" si="14"/>
        <v/>
      </c>
      <c r="AC34" s="634" t="str">
        <f t="shared" si="15"/>
        <v/>
      </c>
      <c r="AD34" s="635" t="str">
        <f t="shared" si="16"/>
        <v/>
      </c>
      <c r="AE34" s="633" t="str">
        <f t="shared" si="17"/>
        <v/>
      </c>
      <c r="AF34" s="632" t="str">
        <f t="shared" si="18"/>
        <v/>
      </c>
      <c r="AG34" s="634" t="str">
        <f t="shared" si="19"/>
        <v/>
      </c>
      <c r="AH34" s="635" t="str">
        <f t="shared" si="20"/>
        <v/>
      </c>
      <c r="AI34" s="633" t="str">
        <f t="shared" si="21"/>
        <v/>
      </c>
      <c r="AJ34" s="632" t="str">
        <f t="shared" si="22"/>
        <v/>
      </c>
      <c r="AK34" s="636" t="str">
        <f t="shared" si="23"/>
        <v/>
      </c>
      <c r="AL34" s="637" t="str">
        <f t="shared" si="24"/>
        <v/>
      </c>
      <c r="AM34" s="633" t="str">
        <f t="shared" si="25"/>
        <v/>
      </c>
      <c r="AN34" s="38"/>
    </row>
    <row r="35" spans="1:40" s="160" customFormat="1" ht="15" x14ac:dyDescent="0.25">
      <c r="A35" s="36"/>
      <c r="B35" s="81"/>
      <c r="C35" s="348"/>
      <c r="D35" s="349"/>
      <c r="E35" s="350"/>
      <c r="F35" s="350"/>
      <c r="G35" s="350"/>
      <c r="H35" s="350"/>
      <c r="I35" s="350"/>
      <c r="J35" s="351"/>
      <c r="K35" s="350"/>
      <c r="L35" s="352"/>
      <c r="M35" s="81"/>
      <c r="N35" s="632" t="str">
        <f t="shared" si="0"/>
        <v/>
      </c>
      <c r="O35" s="633" t="str">
        <f t="shared" si="1"/>
        <v/>
      </c>
      <c r="P35" s="632" t="str">
        <f t="shared" si="2"/>
        <v/>
      </c>
      <c r="Q35" s="634" t="str">
        <f t="shared" si="3"/>
        <v/>
      </c>
      <c r="R35" s="635" t="str">
        <f t="shared" si="4"/>
        <v/>
      </c>
      <c r="S35" s="633" t="str">
        <f t="shared" si="5"/>
        <v/>
      </c>
      <c r="T35" s="632" t="str">
        <f t="shared" si="6"/>
        <v/>
      </c>
      <c r="U35" s="634" t="str">
        <f t="shared" si="7"/>
        <v/>
      </c>
      <c r="V35" s="635" t="str">
        <f t="shared" si="8"/>
        <v/>
      </c>
      <c r="W35" s="633" t="str">
        <f t="shared" si="9"/>
        <v/>
      </c>
      <c r="X35" s="632" t="str">
        <f t="shared" si="10"/>
        <v/>
      </c>
      <c r="Y35" s="634" t="str">
        <f t="shared" si="11"/>
        <v/>
      </c>
      <c r="Z35" s="635" t="str">
        <f t="shared" si="12"/>
        <v/>
      </c>
      <c r="AA35" s="633" t="str">
        <f t="shared" si="13"/>
        <v/>
      </c>
      <c r="AB35" s="632" t="str">
        <f t="shared" si="14"/>
        <v/>
      </c>
      <c r="AC35" s="634" t="str">
        <f t="shared" si="15"/>
        <v/>
      </c>
      <c r="AD35" s="635" t="str">
        <f t="shared" si="16"/>
        <v/>
      </c>
      <c r="AE35" s="633" t="str">
        <f t="shared" si="17"/>
        <v/>
      </c>
      <c r="AF35" s="632" t="str">
        <f t="shared" si="18"/>
        <v/>
      </c>
      <c r="AG35" s="634" t="str">
        <f t="shared" si="19"/>
        <v/>
      </c>
      <c r="AH35" s="635" t="str">
        <f t="shared" si="20"/>
        <v/>
      </c>
      <c r="AI35" s="633" t="str">
        <f t="shared" si="21"/>
        <v/>
      </c>
      <c r="AJ35" s="632" t="str">
        <f t="shared" si="22"/>
        <v/>
      </c>
      <c r="AK35" s="636" t="str">
        <f t="shared" si="23"/>
        <v/>
      </c>
      <c r="AL35" s="637" t="str">
        <f t="shared" si="24"/>
        <v/>
      </c>
      <c r="AM35" s="633" t="str">
        <f t="shared" si="25"/>
        <v/>
      </c>
      <c r="AN35" s="38"/>
    </row>
    <row r="36" spans="1:40" s="160" customFormat="1" ht="15" x14ac:dyDescent="0.25">
      <c r="A36" s="36"/>
      <c r="B36" s="81"/>
      <c r="C36" s="348"/>
      <c r="D36" s="349"/>
      <c r="E36" s="350"/>
      <c r="F36" s="350"/>
      <c r="G36" s="350"/>
      <c r="H36" s="350"/>
      <c r="I36" s="350"/>
      <c r="J36" s="351"/>
      <c r="K36" s="350"/>
      <c r="L36" s="352"/>
      <c r="M36" s="81"/>
      <c r="N36" s="632" t="str">
        <f t="shared" si="0"/>
        <v/>
      </c>
      <c r="O36" s="633" t="str">
        <f t="shared" si="1"/>
        <v/>
      </c>
      <c r="P36" s="632" t="str">
        <f t="shared" si="2"/>
        <v/>
      </c>
      <c r="Q36" s="634" t="str">
        <f t="shared" si="3"/>
        <v/>
      </c>
      <c r="R36" s="635" t="str">
        <f t="shared" si="4"/>
        <v/>
      </c>
      <c r="S36" s="633" t="str">
        <f t="shared" si="5"/>
        <v/>
      </c>
      <c r="T36" s="632" t="str">
        <f t="shared" si="6"/>
        <v/>
      </c>
      <c r="U36" s="634" t="str">
        <f t="shared" si="7"/>
        <v/>
      </c>
      <c r="V36" s="635" t="str">
        <f t="shared" si="8"/>
        <v/>
      </c>
      <c r="W36" s="633" t="str">
        <f t="shared" si="9"/>
        <v/>
      </c>
      <c r="X36" s="632" t="str">
        <f t="shared" si="10"/>
        <v/>
      </c>
      <c r="Y36" s="634" t="str">
        <f t="shared" si="11"/>
        <v/>
      </c>
      <c r="Z36" s="635" t="str">
        <f t="shared" si="12"/>
        <v/>
      </c>
      <c r="AA36" s="633" t="str">
        <f t="shared" si="13"/>
        <v/>
      </c>
      <c r="AB36" s="632" t="str">
        <f t="shared" si="14"/>
        <v/>
      </c>
      <c r="AC36" s="634" t="str">
        <f t="shared" si="15"/>
        <v/>
      </c>
      <c r="AD36" s="635" t="str">
        <f t="shared" si="16"/>
        <v/>
      </c>
      <c r="AE36" s="633" t="str">
        <f t="shared" si="17"/>
        <v/>
      </c>
      <c r="AF36" s="632" t="str">
        <f t="shared" si="18"/>
        <v/>
      </c>
      <c r="AG36" s="634" t="str">
        <f t="shared" si="19"/>
        <v/>
      </c>
      <c r="AH36" s="635" t="str">
        <f t="shared" si="20"/>
        <v/>
      </c>
      <c r="AI36" s="633" t="str">
        <f t="shared" si="21"/>
        <v/>
      </c>
      <c r="AJ36" s="632" t="str">
        <f t="shared" si="22"/>
        <v/>
      </c>
      <c r="AK36" s="636" t="str">
        <f t="shared" si="23"/>
        <v/>
      </c>
      <c r="AL36" s="637" t="str">
        <f t="shared" si="24"/>
        <v/>
      </c>
      <c r="AM36" s="633" t="str">
        <f t="shared" si="25"/>
        <v/>
      </c>
      <c r="AN36" s="38"/>
    </row>
    <row r="37" spans="1:40" s="160" customFormat="1" ht="15" x14ac:dyDescent="0.25">
      <c r="A37" s="36"/>
      <c r="B37" s="81"/>
      <c r="C37" s="348"/>
      <c r="D37" s="349"/>
      <c r="E37" s="350"/>
      <c r="F37" s="350"/>
      <c r="G37" s="350"/>
      <c r="H37" s="350"/>
      <c r="I37" s="350"/>
      <c r="J37" s="351"/>
      <c r="K37" s="350"/>
      <c r="L37" s="352"/>
      <c r="M37" s="81"/>
      <c r="N37" s="632" t="str">
        <f t="shared" si="0"/>
        <v/>
      </c>
      <c r="O37" s="633" t="str">
        <f t="shared" si="1"/>
        <v/>
      </c>
      <c r="P37" s="632" t="str">
        <f t="shared" si="2"/>
        <v/>
      </c>
      <c r="Q37" s="634" t="str">
        <f t="shared" si="3"/>
        <v/>
      </c>
      <c r="R37" s="635" t="str">
        <f t="shared" si="4"/>
        <v/>
      </c>
      <c r="S37" s="633" t="str">
        <f t="shared" si="5"/>
        <v/>
      </c>
      <c r="T37" s="632" t="str">
        <f t="shared" si="6"/>
        <v/>
      </c>
      <c r="U37" s="634" t="str">
        <f t="shared" si="7"/>
        <v/>
      </c>
      <c r="V37" s="635" t="str">
        <f t="shared" si="8"/>
        <v/>
      </c>
      <c r="W37" s="633" t="str">
        <f t="shared" si="9"/>
        <v/>
      </c>
      <c r="X37" s="632" t="str">
        <f t="shared" si="10"/>
        <v/>
      </c>
      <c r="Y37" s="634" t="str">
        <f t="shared" si="11"/>
        <v/>
      </c>
      <c r="Z37" s="635" t="str">
        <f t="shared" si="12"/>
        <v/>
      </c>
      <c r="AA37" s="633" t="str">
        <f t="shared" si="13"/>
        <v/>
      </c>
      <c r="AB37" s="632" t="str">
        <f t="shared" si="14"/>
        <v/>
      </c>
      <c r="AC37" s="634" t="str">
        <f t="shared" si="15"/>
        <v/>
      </c>
      <c r="AD37" s="635" t="str">
        <f t="shared" si="16"/>
        <v/>
      </c>
      <c r="AE37" s="633" t="str">
        <f t="shared" si="17"/>
        <v/>
      </c>
      <c r="AF37" s="632" t="str">
        <f t="shared" si="18"/>
        <v/>
      </c>
      <c r="AG37" s="634" t="str">
        <f t="shared" si="19"/>
        <v/>
      </c>
      <c r="AH37" s="635" t="str">
        <f t="shared" si="20"/>
        <v/>
      </c>
      <c r="AI37" s="633" t="str">
        <f t="shared" si="21"/>
        <v/>
      </c>
      <c r="AJ37" s="632" t="str">
        <f t="shared" si="22"/>
        <v/>
      </c>
      <c r="AK37" s="636" t="str">
        <f t="shared" si="23"/>
        <v/>
      </c>
      <c r="AL37" s="637" t="str">
        <f t="shared" si="24"/>
        <v/>
      </c>
      <c r="AM37" s="633" t="str">
        <f t="shared" si="25"/>
        <v/>
      </c>
      <c r="AN37" s="38"/>
    </row>
    <row r="38" spans="1:40" s="160" customFormat="1" ht="15" x14ac:dyDescent="0.25">
      <c r="A38" s="36"/>
      <c r="B38" s="81"/>
      <c r="C38" s="348"/>
      <c r="D38" s="349"/>
      <c r="E38" s="350"/>
      <c r="F38" s="350"/>
      <c r="G38" s="350"/>
      <c r="H38" s="350"/>
      <c r="I38" s="350"/>
      <c r="J38" s="351"/>
      <c r="K38" s="350"/>
      <c r="L38" s="352"/>
      <c r="M38" s="81"/>
      <c r="N38" s="632" t="str">
        <f t="shared" si="0"/>
        <v/>
      </c>
      <c r="O38" s="633" t="str">
        <f t="shared" si="1"/>
        <v/>
      </c>
      <c r="P38" s="632" t="str">
        <f t="shared" si="2"/>
        <v/>
      </c>
      <c r="Q38" s="634" t="str">
        <f t="shared" si="3"/>
        <v/>
      </c>
      <c r="R38" s="635" t="str">
        <f t="shared" si="4"/>
        <v/>
      </c>
      <c r="S38" s="633" t="str">
        <f t="shared" si="5"/>
        <v/>
      </c>
      <c r="T38" s="632" t="str">
        <f t="shared" si="6"/>
        <v/>
      </c>
      <c r="U38" s="634" t="str">
        <f t="shared" si="7"/>
        <v/>
      </c>
      <c r="V38" s="635" t="str">
        <f t="shared" si="8"/>
        <v/>
      </c>
      <c r="W38" s="633" t="str">
        <f t="shared" si="9"/>
        <v/>
      </c>
      <c r="X38" s="632" t="str">
        <f t="shared" si="10"/>
        <v/>
      </c>
      <c r="Y38" s="634" t="str">
        <f t="shared" si="11"/>
        <v/>
      </c>
      <c r="Z38" s="635" t="str">
        <f t="shared" si="12"/>
        <v/>
      </c>
      <c r="AA38" s="633" t="str">
        <f t="shared" si="13"/>
        <v/>
      </c>
      <c r="AB38" s="632" t="str">
        <f t="shared" si="14"/>
        <v/>
      </c>
      <c r="AC38" s="634" t="str">
        <f t="shared" si="15"/>
        <v/>
      </c>
      <c r="AD38" s="635" t="str">
        <f t="shared" si="16"/>
        <v/>
      </c>
      <c r="AE38" s="633" t="str">
        <f t="shared" si="17"/>
        <v/>
      </c>
      <c r="AF38" s="632" t="str">
        <f t="shared" si="18"/>
        <v/>
      </c>
      <c r="AG38" s="634" t="str">
        <f t="shared" si="19"/>
        <v/>
      </c>
      <c r="AH38" s="635" t="str">
        <f t="shared" si="20"/>
        <v/>
      </c>
      <c r="AI38" s="633" t="str">
        <f t="shared" si="21"/>
        <v/>
      </c>
      <c r="AJ38" s="632" t="str">
        <f t="shared" si="22"/>
        <v/>
      </c>
      <c r="AK38" s="636" t="str">
        <f t="shared" si="23"/>
        <v/>
      </c>
      <c r="AL38" s="637" t="str">
        <f t="shared" si="24"/>
        <v/>
      </c>
      <c r="AM38" s="633" t="str">
        <f t="shared" si="25"/>
        <v/>
      </c>
      <c r="AN38" s="38"/>
    </row>
    <row r="39" spans="1:40" s="160" customFormat="1" ht="15" x14ac:dyDescent="0.25">
      <c r="A39" s="36"/>
      <c r="B39" s="81"/>
      <c r="C39" s="348"/>
      <c r="D39" s="349"/>
      <c r="E39" s="350"/>
      <c r="F39" s="350"/>
      <c r="G39" s="350"/>
      <c r="H39" s="350"/>
      <c r="I39" s="350"/>
      <c r="J39" s="351"/>
      <c r="K39" s="350"/>
      <c r="L39" s="352"/>
      <c r="M39" s="81"/>
      <c r="N39" s="632" t="str">
        <f t="shared" si="0"/>
        <v/>
      </c>
      <c r="O39" s="633" t="str">
        <f t="shared" si="1"/>
        <v/>
      </c>
      <c r="P39" s="632" t="str">
        <f t="shared" si="2"/>
        <v/>
      </c>
      <c r="Q39" s="634" t="str">
        <f t="shared" si="3"/>
        <v/>
      </c>
      <c r="R39" s="635" t="str">
        <f t="shared" si="4"/>
        <v/>
      </c>
      <c r="S39" s="633" t="str">
        <f t="shared" si="5"/>
        <v/>
      </c>
      <c r="T39" s="632" t="str">
        <f t="shared" si="6"/>
        <v/>
      </c>
      <c r="U39" s="634" t="str">
        <f t="shared" si="7"/>
        <v/>
      </c>
      <c r="V39" s="635" t="str">
        <f t="shared" si="8"/>
        <v/>
      </c>
      <c r="W39" s="633" t="str">
        <f t="shared" si="9"/>
        <v/>
      </c>
      <c r="X39" s="632" t="str">
        <f t="shared" si="10"/>
        <v/>
      </c>
      <c r="Y39" s="634" t="str">
        <f t="shared" si="11"/>
        <v/>
      </c>
      <c r="Z39" s="635" t="str">
        <f t="shared" si="12"/>
        <v/>
      </c>
      <c r="AA39" s="633" t="str">
        <f t="shared" si="13"/>
        <v/>
      </c>
      <c r="AB39" s="632" t="str">
        <f t="shared" si="14"/>
        <v/>
      </c>
      <c r="AC39" s="634" t="str">
        <f t="shared" si="15"/>
        <v/>
      </c>
      <c r="AD39" s="635" t="str">
        <f t="shared" si="16"/>
        <v/>
      </c>
      <c r="AE39" s="633" t="str">
        <f t="shared" si="17"/>
        <v/>
      </c>
      <c r="AF39" s="632" t="str">
        <f t="shared" si="18"/>
        <v/>
      </c>
      <c r="AG39" s="634" t="str">
        <f t="shared" si="19"/>
        <v/>
      </c>
      <c r="AH39" s="635" t="str">
        <f t="shared" si="20"/>
        <v/>
      </c>
      <c r="AI39" s="633" t="str">
        <f t="shared" si="21"/>
        <v/>
      </c>
      <c r="AJ39" s="632" t="str">
        <f t="shared" si="22"/>
        <v/>
      </c>
      <c r="AK39" s="636" t="str">
        <f t="shared" si="23"/>
        <v/>
      </c>
      <c r="AL39" s="637" t="str">
        <f t="shared" si="24"/>
        <v/>
      </c>
      <c r="AM39" s="633" t="str">
        <f t="shared" si="25"/>
        <v/>
      </c>
      <c r="AN39" s="38"/>
    </row>
    <row r="40" spans="1:40" s="160" customFormat="1" ht="15" x14ac:dyDescent="0.25">
      <c r="A40" s="36"/>
      <c r="B40" s="81"/>
      <c r="C40" s="348"/>
      <c r="D40" s="349"/>
      <c r="E40" s="350"/>
      <c r="F40" s="350"/>
      <c r="G40" s="350"/>
      <c r="H40" s="350"/>
      <c r="I40" s="350"/>
      <c r="J40" s="351"/>
      <c r="K40" s="350"/>
      <c r="L40" s="352"/>
      <c r="M40" s="81"/>
      <c r="N40" s="632" t="str">
        <f t="shared" si="0"/>
        <v/>
      </c>
      <c r="O40" s="633" t="str">
        <f t="shared" si="1"/>
        <v/>
      </c>
      <c r="P40" s="632" t="str">
        <f t="shared" si="2"/>
        <v/>
      </c>
      <c r="Q40" s="634" t="str">
        <f t="shared" si="3"/>
        <v/>
      </c>
      <c r="R40" s="635" t="str">
        <f t="shared" si="4"/>
        <v/>
      </c>
      <c r="S40" s="633" t="str">
        <f t="shared" si="5"/>
        <v/>
      </c>
      <c r="T40" s="632" t="str">
        <f t="shared" si="6"/>
        <v/>
      </c>
      <c r="U40" s="634" t="str">
        <f t="shared" si="7"/>
        <v/>
      </c>
      <c r="V40" s="635" t="str">
        <f t="shared" si="8"/>
        <v/>
      </c>
      <c r="W40" s="633" t="str">
        <f t="shared" si="9"/>
        <v/>
      </c>
      <c r="X40" s="632" t="str">
        <f t="shared" si="10"/>
        <v/>
      </c>
      <c r="Y40" s="634" t="str">
        <f t="shared" si="11"/>
        <v/>
      </c>
      <c r="Z40" s="635" t="str">
        <f t="shared" si="12"/>
        <v/>
      </c>
      <c r="AA40" s="633" t="str">
        <f t="shared" si="13"/>
        <v/>
      </c>
      <c r="AB40" s="632" t="str">
        <f t="shared" si="14"/>
        <v/>
      </c>
      <c r="AC40" s="634" t="str">
        <f t="shared" si="15"/>
        <v/>
      </c>
      <c r="AD40" s="635" t="str">
        <f t="shared" si="16"/>
        <v/>
      </c>
      <c r="AE40" s="633" t="str">
        <f t="shared" si="17"/>
        <v/>
      </c>
      <c r="AF40" s="632" t="str">
        <f t="shared" si="18"/>
        <v/>
      </c>
      <c r="AG40" s="634" t="str">
        <f t="shared" si="19"/>
        <v/>
      </c>
      <c r="AH40" s="635" t="str">
        <f t="shared" si="20"/>
        <v/>
      </c>
      <c r="AI40" s="633" t="str">
        <f t="shared" si="21"/>
        <v/>
      </c>
      <c r="AJ40" s="632" t="str">
        <f t="shared" si="22"/>
        <v/>
      </c>
      <c r="AK40" s="636" t="str">
        <f t="shared" si="23"/>
        <v/>
      </c>
      <c r="AL40" s="637" t="str">
        <f t="shared" si="24"/>
        <v/>
      </c>
      <c r="AM40" s="633" t="str">
        <f t="shared" si="25"/>
        <v/>
      </c>
      <c r="AN40" s="38"/>
    </row>
    <row r="41" spans="1:40" s="160" customFormat="1" ht="15" x14ac:dyDescent="0.25">
      <c r="A41" s="36"/>
      <c r="B41" s="81"/>
      <c r="C41" s="348"/>
      <c r="D41" s="349"/>
      <c r="E41" s="350"/>
      <c r="F41" s="350"/>
      <c r="G41" s="350"/>
      <c r="H41" s="350"/>
      <c r="I41" s="350"/>
      <c r="J41" s="351"/>
      <c r="K41" s="350"/>
      <c r="L41" s="352"/>
      <c r="M41" s="81"/>
      <c r="N41" s="632" t="str">
        <f t="shared" si="0"/>
        <v/>
      </c>
      <c r="O41" s="633" t="str">
        <f t="shared" si="1"/>
        <v/>
      </c>
      <c r="P41" s="632" t="str">
        <f t="shared" si="2"/>
        <v/>
      </c>
      <c r="Q41" s="634" t="str">
        <f t="shared" si="3"/>
        <v/>
      </c>
      <c r="R41" s="635" t="str">
        <f t="shared" si="4"/>
        <v/>
      </c>
      <c r="S41" s="633" t="str">
        <f t="shared" si="5"/>
        <v/>
      </c>
      <c r="T41" s="632" t="str">
        <f t="shared" si="6"/>
        <v/>
      </c>
      <c r="U41" s="634" t="str">
        <f t="shared" si="7"/>
        <v/>
      </c>
      <c r="V41" s="635" t="str">
        <f t="shared" si="8"/>
        <v/>
      </c>
      <c r="W41" s="633" t="str">
        <f t="shared" si="9"/>
        <v/>
      </c>
      <c r="X41" s="632" t="str">
        <f t="shared" si="10"/>
        <v/>
      </c>
      <c r="Y41" s="634" t="str">
        <f t="shared" si="11"/>
        <v/>
      </c>
      <c r="Z41" s="635" t="str">
        <f t="shared" si="12"/>
        <v/>
      </c>
      <c r="AA41" s="633" t="str">
        <f t="shared" si="13"/>
        <v/>
      </c>
      <c r="AB41" s="632" t="str">
        <f t="shared" si="14"/>
        <v/>
      </c>
      <c r="AC41" s="634" t="str">
        <f t="shared" si="15"/>
        <v/>
      </c>
      <c r="AD41" s="635" t="str">
        <f t="shared" si="16"/>
        <v/>
      </c>
      <c r="AE41" s="633" t="str">
        <f t="shared" si="17"/>
        <v/>
      </c>
      <c r="AF41" s="632" t="str">
        <f t="shared" si="18"/>
        <v/>
      </c>
      <c r="AG41" s="634" t="str">
        <f t="shared" si="19"/>
        <v/>
      </c>
      <c r="AH41" s="635" t="str">
        <f t="shared" si="20"/>
        <v/>
      </c>
      <c r="AI41" s="633" t="str">
        <f t="shared" si="21"/>
        <v/>
      </c>
      <c r="AJ41" s="632" t="str">
        <f t="shared" si="22"/>
        <v/>
      </c>
      <c r="AK41" s="636" t="str">
        <f t="shared" si="23"/>
        <v/>
      </c>
      <c r="AL41" s="637" t="str">
        <f t="shared" si="24"/>
        <v/>
      </c>
      <c r="AM41" s="633" t="str">
        <f t="shared" si="25"/>
        <v/>
      </c>
      <c r="AN41" s="38"/>
    </row>
    <row r="42" spans="1:40" s="160" customFormat="1" ht="15" x14ac:dyDescent="0.25">
      <c r="A42" s="36"/>
      <c r="B42" s="81"/>
      <c r="C42" s="348"/>
      <c r="D42" s="349"/>
      <c r="E42" s="350"/>
      <c r="F42" s="350"/>
      <c r="G42" s="350"/>
      <c r="H42" s="350"/>
      <c r="I42" s="350"/>
      <c r="J42" s="351"/>
      <c r="K42" s="350"/>
      <c r="L42" s="352"/>
      <c r="M42" s="81"/>
      <c r="N42" s="632" t="str">
        <f t="shared" si="0"/>
        <v/>
      </c>
      <c r="O42" s="633" t="str">
        <f t="shared" si="1"/>
        <v/>
      </c>
      <c r="P42" s="632" t="str">
        <f t="shared" si="2"/>
        <v/>
      </c>
      <c r="Q42" s="634" t="str">
        <f t="shared" si="3"/>
        <v/>
      </c>
      <c r="R42" s="635" t="str">
        <f t="shared" si="4"/>
        <v/>
      </c>
      <c r="S42" s="633" t="str">
        <f t="shared" si="5"/>
        <v/>
      </c>
      <c r="T42" s="632" t="str">
        <f t="shared" si="6"/>
        <v/>
      </c>
      <c r="U42" s="634" t="str">
        <f t="shared" si="7"/>
        <v/>
      </c>
      <c r="V42" s="635" t="str">
        <f t="shared" si="8"/>
        <v/>
      </c>
      <c r="W42" s="633" t="str">
        <f t="shared" si="9"/>
        <v/>
      </c>
      <c r="X42" s="632" t="str">
        <f t="shared" si="10"/>
        <v/>
      </c>
      <c r="Y42" s="634" t="str">
        <f t="shared" si="11"/>
        <v/>
      </c>
      <c r="Z42" s="635" t="str">
        <f t="shared" si="12"/>
        <v/>
      </c>
      <c r="AA42" s="633" t="str">
        <f t="shared" si="13"/>
        <v/>
      </c>
      <c r="AB42" s="632" t="str">
        <f t="shared" si="14"/>
        <v/>
      </c>
      <c r="AC42" s="634" t="str">
        <f t="shared" si="15"/>
        <v/>
      </c>
      <c r="AD42" s="635" t="str">
        <f t="shared" si="16"/>
        <v/>
      </c>
      <c r="AE42" s="633" t="str">
        <f t="shared" si="17"/>
        <v/>
      </c>
      <c r="AF42" s="632" t="str">
        <f t="shared" si="18"/>
        <v/>
      </c>
      <c r="AG42" s="634" t="str">
        <f t="shared" si="19"/>
        <v/>
      </c>
      <c r="AH42" s="635" t="str">
        <f t="shared" si="20"/>
        <v/>
      </c>
      <c r="AI42" s="633" t="str">
        <f t="shared" si="21"/>
        <v/>
      </c>
      <c r="AJ42" s="632" t="str">
        <f t="shared" si="22"/>
        <v/>
      </c>
      <c r="AK42" s="636" t="str">
        <f t="shared" si="23"/>
        <v/>
      </c>
      <c r="AL42" s="637" t="str">
        <f t="shared" si="24"/>
        <v/>
      </c>
      <c r="AM42" s="633" t="str">
        <f t="shared" si="25"/>
        <v/>
      </c>
      <c r="AN42" s="38"/>
    </row>
    <row r="43" spans="1:40" s="160" customFormat="1" ht="15" x14ac:dyDescent="0.25">
      <c r="A43" s="36"/>
      <c r="B43" s="81"/>
      <c r="C43" s="348"/>
      <c r="D43" s="349"/>
      <c r="E43" s="350"/>
      <c r="F43" s="350"/>
      <c r="G43" s="350"/>
      <c r="H43" s="350"/>
      <c r="I43" s="350"/>
      <c r="J43" s="351"/>
      <c r="K43" s="350"/>
      <c r="L43" s="352"/>
      <c r="M43" s="81"/>
      <c r="N43" s="632" t="str">
        <f t="shared" si="0"/>
        <v/>
      </c>
      <c r="O43" s="633" t="str">
        <f t="shared" si="1"/>
        <v/>
      </c>
      <c r="P43" s="632" t="str">
        <f t="shared" si="2"/>
        <v/>
      </c>
      <c r="Q43" s="634" t="str">
        <f t="shared" si="3"/>
        <v/>
      </c>
      <c r="R43" s="635" t="str">
        <f t="shared" si="4"/>
        <v/>
      </c>
      <c r="S43" s="633" t="str">
        <f t="shared" si="5"/>
        <v/>
      </c>
      <c r="T43" s="632" t="str">
        <f t="shared" si="6"/>
        <v/>
      </c>
      <c r="U43" s="634" t="str">
        <f t="shared" si="7"/>
        <v/>
      </c>
      <c r="V43" s="635" t="str">
        <f t="shared" si="8"/>
        <v/>
      </c>
      <c r="W43" s="633" t="str">
        <f t="shared" si="9"/>
        <v/>
      </c>
      <c r="X43" s="632" t="str">
        <f t="shared" si="10"/>
        <v/>
      </c>
      <c r="Y43" s="634" t="str">
        <f t="shared" si="11"/>
        <v/>
      </c>
      <c r="Z43" s="635" t="str">
        <f t="shared" si="12"/>
        <v/>
      </c>
      <c r="AA43" s="633" t="str">
        <f t="shared" si="13"/>
        <v/>
      </c>
      <c r="AB43" s="632" t="str">
        <f t="shared" si="14"/>
        <v/>
      </c>
      <c r="AC43" s="634" t="str">
        <f t="shared" si="15"/>
        <v/>
      </c>
      <c r="AD43" s="635" t="str">
        <f t="shared" si="16"/>
        <v/>
      </c>
      <c r="AE43" s="633" t="str">
        <f t="shared" si="17"/>
        <v/>
      </c>
      <c r="AF43" s="632" t="str">
        <f t="shared" si="18"/>
        <v/>
      </c>
      <c r="AG43" s="634" t="str">
        <f t="shared" si="19"/>
        <v/>
      </c>
      <c r="AH43" s="635" t="str">
        <f t="shared" si="20"/>
        <v/>
      </c>
      <c r="AI43" s="633" t="str">
        <f t="shared" si="21"/>
        <v/>
      </c>
      <c r="AJ43" s="632" t="str">
        <f t="shared" si="22"/>
        <v/>
      </c>
      <c r="AK43" s="636" t="str">
        <f t="shared" si="23"/>
        <v/>
      </c>
      <c r="AL43" s="637" t="str">
        <f t="shared" si="24"/>
        <v/>
      </c>
      <c r="AM43" s="633" t="str">
        <f t="shared" si="25"/>
        <v/>
      </c>
      <c r="AN43" s="38"/>
    </row>
    <row r="44" spans="1:40" s="160" customFormat="1" ht="15" x14ac:dyDescent="0.25">
      <c r="A44" s="36"/>
      <c r="B44" s="81"/>
      <c r="C44" s="348"/>
      <c r="D44" s="349"/>
      <c r="E44" s="350"/>
      <c r="F44" s="350"/>
      <c r="G44" s="350"/>
      <c r="H44" s="350"/>
      <c r="I44" s="350"/>
      <c r="J44" s="351"/>
      <c r="K44" s="350"/>
      <c r="L44" s="352"/>
      <c r="M44" s="81"/>
      <c r="N44" s="632" t="str">
        <f t="shared" si="0"/>
        <v/>
      </c>
      <c r="O44" s="633" t="str">
        <f t="shared" si="1"/>
        <v/>
      </c>
      <c r="P44" s="632" t="str">
        <f t="shared" si="2"/>
        <v/>
      </c>
      <c r="Q44" s="634" t="str">
        <f t="shared" si="3"/>
        <v/>
      </c>
      <c r="R44" s="635" t="str">
        <f t="shared" si="4"/>
        <v/>
      </c>
      <c r="S44" s="633" t="str">
        <f t="shared" si="5"/>
        <v/>
      </c>
      <c r="T44" s="632" t="str">
        <f t="shared" si="6"/>
        <v/>
      </c>
      <c r="U44" s="634" t="str">
        <f t="shared" si="7"/>
        <v/>
      </c>
      <c r="V44" s="635" t="str">
        <f t="shared" si="8"/>
        <v/>
      </c>
      <c r="W44" s="633" t="str">
        <f t="shared" si="9"/>
        <v/>
      </c>
      <c r="X44" s="632" t="str">
        <f t="shared" si="10"/>
        <v/>
      </c>
      <c r="Y44" s="634" t="str">
        <f t="shared" si="11"/>
        <v/>
      </c>
      <c r="Z44" s="635" t="str">
        <f t="shared" si="12"/>
        <v/>
      </c>
      <c r="AA44" s="633" t="str">
        <f t="shared" si="13"/>
        <v/>
      </c>
      <c r="AB44" s="632" t="str">
        <f t="shared" si="14"/>
        <v/>
      </c>
      <c r="AC44" s="634" t="str">
        <f t="shared" si="15"/>
        <v/>
      </c>
      <c r="AD44" s="635" t="str">
        <f t="shared" si="16"/>
        <v/>
      </c>
      <c r="AE44" s="633" t="str">
        <f t="shared" si="17"/>
        <v/>
      </c>
      <c r="AF44" s="632" t="str">
        <f t="shared" si="18"/>
        <v/>
      </c>
      <c r="AG44" s="634" t="str">
        <f t="shared" si="19"/>
        <v/>
      </c>
      <c r="AH44" s="635" t="str">
        <f t="shared" si="20"/>
        <v/>
      </c>
      <c r="AI44" s="633" t="str">
        <f t="shared" si="21"/>
        <v/>
      </c>
      <c r="AJ44" s="632" t="str">
        <f t="shared" si="22"/>
        <v/>
      </c>
      <c r="AK44" s="636" t="str">
        <f t="shared" si="23"/>
        <v/>
      </c>
      <c r="AL44" s="637" t="str">
        <f t="shared" si="24"/>
        <v/>
      </c>
      <c r="AM44" s="633" t="str">
        <f t="shared" si="25"/>
        <v/>
      </c>
      <c r="AN44" s="38"/>
    </row>
    <row r="45" spans="1:40" s="160" customFormat="1" ht="15" x14ac:dyDescent="0.25">
      <c r="A45" s="36"/>
      <c r="B45" s="81"/>
      <c r="C45" s="348"/>
      <c r="D45" s="349"/>
      <c r="E45" s="350"/>
      <c r="F45" s="350"/>
      <c r="G45" s="350"/>
      <c r="H45" s="350"/>
      <c r="I45" s="350"/>
      <c r="J45" s="351"/>
      <c r="K45" s="350"/>
      <c r="L45" s="352"/>
      <c r="M45" s="81"/>
      <c r="N45" s="632" t="str">
        <f t="shared" si="0"/>
        <v/>
      </c>
      <c r="O45" s="633" t="str">
        <f t="shared" si="1"/>
        <v/>
      </c>
      <c r="P45" s="632" t="str">
        <f t="shared" si="2"/>
        <v/>
      </c>
      <c r="Q45" s="634" t="str">
        <f t="shared" si="3"/>
        <v/>
      </c>
      <c r="R45" s="635" t="str">
        <f t="shared" si="4"/>
        <v/>
      </c>
      <c r="S45" s="633" t="str">
        <f t="shared" si="5"/>
        <v/>
      </c>
      <c r="T45" s="632" t="str">
        <f t="shared" si="6"/>
        <v/>
      </c>
      <c r="U45" s="634" t="str">
        <f t="shared" si="7"/>
        <v/>
      </c>
      <c r="V45" s="635" t="str">
        <f t="shared" si="8"/>
        <v/>
      </c>
      <c r="W45" s="633" t="str">
        <f t="shared" si="9"/>
        <v/>
      </c>
      <c r="X45" s="632" t="str">
        <f t="shared" si="10"/>
        <v/>
      </c>
      <c r="Y45" s="634" t="str">
        <f t="shared" si="11"/>
        <v/>
      </c>
      <c r="Z45" s="635" t="str">
        <f t="shared" si="12"/>
        <v/>
      </c>
      <c r="AA45" s="633" t="str">
        <f t="shared" si="13"/>
        <v/>
      </c>
      <c r="AB45" s="632" t="str">
        <f t="shared" si="14"/>
        <v/>
      </c>
      <c r="AC45" s="634" t="str">
        <f t="shared" si="15"/>
        <v/>
      </c>
      <c r="AD45" s="635" t="str">
        <f t="shared" si="16"/>
        <v/>
      </c>
      <c r="AE45" s="633" t="str">
        <f t="shared" si="17"/>
        <v/>
      </c>
      <c r="AF45" s="632" t="str">
        <f t="shared" si="18"/>
        <v/>
      </c>
      <c r="AG45" s="634" t="str">
        <f t="shared" si="19"/>
        <v/>
      </c>
      <c r="AH45" s="635" t="str">
        <f t="shared" si="20"/>
        <v/>
      </c>
      <c r="AI45" s="633" t="str">
        <f t="shared" si="21"/>
        <v/>
      </c>
      <c r="AJ45" s="632" t="str">
        <f t="shared" si="22"/>
        <v/>
      </c>
      <c r="AK45" s="636" t="str">
        <f t="shared" si="23"/>
        <v/>
      </c>
      <c r="AL45" s="637" t="str">
        <f t="shared" si="24"/>
        <v/>
      </c>
      <c r="AM45" s="633" t="str">
        <f t="shared" si="25"/>
        <v/>
      </c>
      <c r="AN45" s="38"/>
    </row>
    <row r="46" spans="1:40" s="160" customFormat="1" ht="15" x14ac:dyDescent="0.25">
      <c r="A46" s="36"/>
      <c r="B46" s="81"/>
      <c r="C46" s="348"/>
      <c r="D46" s="349"/>
      <c r="E46" s="350"/>
      <c r="F46" s="350"/>
      <c r="G46" s="350"/>
      <c r="H46" s="350"/>
      <c r="I46" s="350"/>
      <c r="J46" s="351"/>
      <c r="K46" s="350"/>
      <c r="L46" s="352"/>
      <c r="M46" s="81"/>
      <c r="N46" s="632" t="str">
        <f t="shared" si="0"/>
        <v/>
      </c>
      <c r="O46" s="633" t="str">
        <f t="shared" si="1"/>
        <v/>
      </c>
      <c r="P46" s="632" t="str">
        <f t="shared" si="2"/>
        <v/>
      </c>
      <c r="Q46" s="634" t="str">
        <f t="shared" si="3"/>
        <v/>
      </c>
      <c r="R46" s="635" t="str">
        <f t="shared" si="4"/>
        <v/>
      </c>
      <c r="S46" s="633" t="str">
        <f t="shared" si="5"/>
        <v/>
      </c>
      <c r="T46" s="632" t="str">
        <f t="shared" si="6"/>
        <v/>
      </c>
      <c r="U46" s="634" t="str">
        <f t="shared" si="7"/>
        <v/>
      </c>
      <c r="V46" s="635" t="str">
        <f t="shared" si="8"/>
        <v/>
      </c>
      <c r="W46" s="633" t="str">
        <f t="shared" si="9"/>
        <v/>
      </c>
      <c r="X46" s="632" t="str">
        <f t="shared" si="10"/>
        <v/>
      </c>
      <c r="Y46" s="634" t="str">
        <f t="shared" si="11"/>
        <v/>
      </c>
      <c r="Z46" s="635" t="str">
        <f t="shared" si="12"/>
        <v/>
      </c>
      <c r="AA46" s="633" t="str">
        <f t="shared" si="13"/>
        <v/>
      </c>
      <c r="AB46" s="632" t="str">
        <f t="shared" si="14"/>
        <v/>
      </c>
      <c r="AC46" s="634" t="str">
        <f t="shared" si="15"/>
        <v/>
      </c>
      <c r="AD46" s="635" t="str">
        <f t="shared" si="16"/>
        <v/>
      </c>
      <c r="AE46" s="633" t="str">
        <f t="shared" si="17"/>
        <v/>
      </c>
      <c r="AF46" s="632" t="str">
        <f t="shared" si="18"/>
        <v/>
      </c>
      <c r="AG46" s="634" t="str">
        <f t="shared" si="19"/>
        <v/>
      </c>
      <c r="AH46" s="635" t="str">
        <f t="shared" si="20"/>
        <v/>
      </c>
      <c r="AI46" s="633" t="str">
        <f t="shared" si="21"/>
        <v/>
      </c>
      <c r="AJ46" s="632" t="str">
        <f t="shared" si="22"/>
        <v/>
      </c>
      <c r="AK46" s="636" t="str">
        <f t="shared" si="23"/>
        <v/>
      </c>
      <c r="AL46" s="637" t="str">
        <f t="shared" si="24"/>
        <v/>
      </c>
      <c r="AM46" s="633" t="str">
        <f t="shared" si="25"/>
        <v/>
      </c>
      <c r="AN46" s="38"/>
    </row>
    <row r="47" spans="1:40" s="160" customFormat="1" ht="15" x14ac:dyDescent="0.25">
      <c r="A47" s="36"/>
      <c r="B47" s="81"/>
      <c r="C47" s="348"/>
      <c r="D47" s="349"/>
      <c r="E47" s="350"/>
      <c r="F47" s="350"/>
      <c r="G47" s="350"/>
      <c r="H47" s="350"/>
      <c r="I47" s="350"/>
      <c r="J47" s="351"/>
      <c r="K47" s="350"/>
      <c r="L47" s="352"/>
      <c r="M47" s="81"/>
      <c r="N47" s="632" t="str">
        <f t="shared" si="0"/>
        <v/>
      </c>
      <c r="O47" s="633" t="str">
        <f t="shared" si="1"/>
        <v/>
      </c>
      <c r="P47" s="632" t="str">
        <f t="shared" si="2"/>
        <v/>
      </c>
      <c r="Q47" s="634" t="str">
        <f t="shared" si="3"/>
        <v/>
      </c>
      <c r="R47" s="635" t="str">
        <f t="shared" si="4"/>
        <v/>
      </c>
      <c r="S47" s="633" t="str">
        <f t="shared" si="5"/>
        <v/>
      </c>
      <c r="T47" s="632" t="str">
        <f t="shared" si="6"/>
        <v/>
      </c>
      <c r="U47" s="634" t="str">
        <f t="shared" si="7"/>
        <v/>
      </c>
      <c r="V47" s="635" t="str">
        <f t="shared" si="8"/>
        <v/>
      </c>
      <c r="W47" s="633" t="str">
        <f t="shared" si="9"/>
        <v/>
      </c>
      <c r="X47" s="632" t="str">
        <f t="shared" si="10"/>
        <v/>
      </c>
      <c r="Y47" s="634" t="str">
        <f t="shared" si="11"/>
        <v/>
      </c>
      <c r="Z47" s="635" t="str">
        <f t="shared" si="12"/>
        <v/>
      </c>
      <c r="AA47" s="633" t="str">
        <f t="shared" si="13"/>
        <v/>
      </c>
      <c r="AB47" s="632" t="str">
        <f t="shared" si="14"/>
        <v/>
      </c>
      <c r="AC47" s="634" t="str">
        <f t="shared" si="15"/>
        <v/>
      </c>
      <c r="AD47" s="635" t="str">
        <f t="shared" si="16"/>
        <v/>
      </c>
      <c r="AE47" s="633" t="str">
        <f t="shared" si="17"/>
        <v/>
      </c>
      <c r="AF47" s="632" t="str">
        <f t="shared" si="18"/>
        <v/>
      </c>
      <c r="AG47" s="634" t="str">
        <f t="shared" si="19"/>
        <v/>
      </c>
      <c r="AH47" s="635" t="str">
        <f t="shared" si="20"/>
        <v/>
      </c>
      <c r="AI47" s="633" t="str">
        <f t="shared" si="21"/>
        <v/>
      </c>
      <c r="AJ47" s="632" t="str">
        <f t="shared" si="22"/>
        <v/>
      </c>
      <c r="AK47" s="636" t="str">
        <f t="shared" si="23"/>
        <v/>
      </c>
      <c r="AL47" s="637" t="str">
        <f t="shared" si="24"/>
        <v/>
      </c>
      <c r="AM47" s="633" t="str">
        <f t="shared" si="25"/>
        <v/>
      </c>
      <c r="AN47" s="38"/>
    </row>
    <row r="48" spans="1:40" s="160" customFormat="1" ht="15" x14ac:dyDescent="0.25">
      <c r="A48" s="36"/>
      <c r="B48" s="81"/>
      <c r="C48" s="348"/>
      <c r="D48" s="349"/>
      <c r="E48" s="350"/>
      <c r="F48" s="350"/>
      <c r="G48" s="350"/>
      <c r="H48" s="350"/>
      <c r="I48" s="350"/>
      <c r="J48" s="351"/>
      <c r="K48" s="350"/>
      <c r="L48" s="352"/>
      <c r="M48" s="81"/>
      <c r="N48" s="632" t="str">
        <f t="shared" si="0"/>
        <v/>
      </c>
      <c r="O48" s="633" t="str">
        <f t="shared" si="1"/>
        <v/>
      </c>
      <c r="P48" s="632" t="str">
        <f t="shared" si="2"/>
        <v/>
      </c>
      <c r="Q48" s="634" t="str">
        <f t="shared" si="3"/>
        <v/>
      </c>
      <c r="R48" s="635" t="str">
        <f t="shared" si="4"/>
        <v/>
      </c>
      <c r="S48" s="633" t="str">
        <f t="shared" si="5"/>
        <v/>
      </c>
      <c r="T48" s="632" t="str">
        <f t="shared" si="6"/>
        <v/>
      </c>
      <c r="U48" s="634" t="str">
        <f t="shared" si="7"/>
        <v/>
      </c>
      <c r="V48" s="635" t="str">
        <f t="shared" si="8"/>
        <v/>
      </c>
      <c r="W48" s="633" t="str">
        <f t="shared" si="9"/>
        <v/>
      </c>
      <c r="X48" s="632" t="str">
        <f t="shared" si="10"/>
        <v/>
      </c>
      <c r="Y48" s="634" t="str">
        <f t="shared" si="11"/>
        <v/>
      </c>
      <c r="Z48" s="635" t="str">
        <f t="shared" si="12"/>
        <v/>
      </c>
      <c r="AA48" s="633" t="str">
        <f t="shared" si="13"/>
        <v/>
      </c>
      <c r="AB48" s="632" t="str">
        <f t="shared" si="14"/>
        <v/>
      </c>
      <c r="AC48" s="634" t="str">
        <f t="shared" si="15"/>
        <v/>
      </c>
      <c r="AD48" s="635" t="str">
        <f t="shared" si="16"/>
        <v/>
      </c>
      <c r="AE48" s="633" t="str">
        <f t="shared" si="17"/>
        <v/>
      </c>
      <c r="AF48" s="632" t="str">
        <f t="shared" si="18"/>
        <v/>
      </c>
      <c r="AG48" s="634" t="str">
        <f t="shared" si="19"/>
        <v/>
      </c>
      <c r="AH48" s="635" t="str">
        <f t="shared" si="20"/>
        <v/>
      </c>
      <c r="AI48" s="633" t="str">
        <f t="shared" si="21"/>
        <v/>
      </c>
      <c r="AJ48" s="632" t="str">
        <f t="shared" si="22"/>
        <v/>
      </c>
      <c r="AK48" s="636" t="str">
        <f t="shared" si="23"/>
        <v/>
      </c>
      <c r="AL48" s="637" t="str">
        <f t="shared" si="24"/>
        <v/>
      </c>
      <c r="AM48" s="633" t="str">
        <f t="shared" si="25"/>
        <v/>
      </c>
      <c r="AN48" s="38"/>
    </row>
    <row r="49" spans="1:40" s="160" customFormat="1" ht="15" x14ac:dyDescent="0.25">
      <c r="A49" s="36"/>
      <c r="B49" s="81"/>
      <c r="C49" s="348"/>
      <c r="D49" s="349"/>
      <c r="E49" s="350"/>
      <c r="F49" s="350"/>
      <c r="G49" s="350"/>
      <c r="H49" s="350"/>
      <c r="I49" s="350"/>
      <c r="J49" s="351"/>
      <c r="K49" s="350"/>
      <c r="L49" s="352"/>
      <c r="M49" s="81"/>
      <c r="N49" s="632" t="str">
        <f t="shared" si="0"/>
        <v/>
      </c>
      <c r="O49" s="633" t="str">
        <f t="shared" si="1"/>
        <v/>
      </c>
      <c r="P49" s="632" t="str">
        <f t="shared" si="2"/>
        <v/>
      </c>
      <c r="Q49" s="634" t="str">
        <f t="shared" si="3"/>
        <v/>
      </c>
      <c r="R49" s="635" t="str">
        <f t="shared" si="4"/>
        <v/>
      </c>
      <c r="S49" s="633" t="str">
        <f t="shared" si="5"/>
        <v/>
      </c>
      <c r="T49" s="632" t="str">
        <f t="shared" si="6"/>
        <v/>
      </c>
      <c r="U49" s="634" t="str">
        <f t="shared" si="7"/>
        <v/>
      </c>
      <c r="V49" s="635" t="str">
        <f t="shared" si="8"/>
        <v/>
      </c>
      <c r="W49" s="633" t="str">
        <f t="shared" si="9"/>
        <v/>
      </c>
      <c r="X49" s="632" t="str">
        <f t="shared" si="10"/>
        <v/>
      </c>
      <c r="Y49" s="634" t="str">
        <f t="shared" si="11"/>
        <v/>
      </c>
      <c r="Z49" s="635" t="str">
        <f t="shared" si="12"/>
        <v/>
      </c>
      <c r="AA49" s="633" t="str">
        <f t="shared" si="13"/>
        <v/>
      </c>
      <c r="AB49" s="632" t="str">
        <f t="shared" si="14"/>
        <v/>
      </c>
      <c r="AC49" s="634" t="str">
        <f t="shared" si="15"/>
        <v/>
      </c>
      <c r="AD49" s="635" t="str">
        <f t="shared" si="16"/>
        <v/>
      </c>
      <c r="AE49" s="633" t="str">
        <f t="shared" si="17"/>
        <v/>
      </c>
      <c r="AF49" s="632" t="str">
        <f t="shared" si="18"/>
        <v/>
      </c>
      <c r="AG49" s="634" t="str">
        <f t="shared" si="19"/>
        <v/>
      </c>
      <c r="AH49" s="635" t="str">
        <f t="shared" si="20"/>
        <v/>
      </c>
      <c r="AI49" s="633" t="str">
        <f t="shared" si="21"/>
        <v/>
      </c>
      <c r="AJ49" s="632" t="str">
        <f t="shared" si="22"/>
        <v/>
      </c>
      <c r="AK49" s="636" t="str">
        <f t="shared" si="23"/>
        <v/>
      </c>
      <c r="AL49" s="637" t="str">
        <f t="shared" si="24"/>
        <v/>
      </c>
      <c r="AM49" s="633" t="str">
        <f t="shared" si="25"/>
        <v/>
      </c>
      <c r="AN49" s="38"/>
    </row>
    <row r="50" spans="1:40" s="160" customFormat="1" ht="15" x14ac:dyDescent="0.25">
      <c r="A50" s="36"/>
      <c r="B50" s="81"/>
      <c r="C50" s="348"/>
      <c r="D50" s="349"/>
      <c r="E50" s="350"/>
      <c r="F50" s="350"/>
      <c r="G50" s="350"/>
      <c r="H50" s="350"/>
      <c r="I50" s="350"/>
      <c r="J50" s="351"/>
      <c r="K50" s="350"/>
      <c r="L50" s="352"/>
      <c r="M50" s="81"/>
      <c r="N50" s="632" t="str">
        <f t="shared" si="0"/>
        <v/>
      </c>
      <c r="O50" s="633" t="str">
        <f t="shared" si="1"/>
        <v/>
      </c>
      <c r="P50" s="632" t="str">
        <f t="shared" si="2"/>
        <v/>
      </c>
      <c r="Q50" s="634" t="str">
        <f t="shared" si="3"/>
        <v/>
      </c>
      <c r="R50" s="635" t="str">
        <f t="shared" si="4"/>
        <v/>
      </c>
      <c r="S50" s="633" t="str">
        <f t="shared" si="5"/>
        <v/>
      </c>
      <c r="T50" s="632" t="str">
        <f t="shared" si="6"/>
        <v/>
      </c>
      <c r="U50" s="634" t="str">
        <f t="shared" si="7"/>
        <v/>
      </c>
      <c r="V50" s="635" t="str">
        <f t="shared" si="8"/>
        <v/>
      </c>
      <c r="W50" s="633" t="str">
        <f t="shared" si="9"/>
        <v/>
      </c>
      <c r="X50" s="632" t="str">
        <f t="shared" si="10"/>
        <v/>
      </c>
      <c r="Y50" s="634" t="str">
        <f t="shared" si="11"/>
        <v/>
      </c>
      <c r="Z50" s="635" t="str">
        <f t="shared" si="12"/>
        <v/>
      </c>
      <c r="AA50" s="633" t="str">
        <f t="shared" si="13"/>
        <v/>
      </c>
      <c r="AB50" s="632" t="str">
        <f t="shared" si="14"/>
        <v/>
      </c>
      <c r="AC50" s="634" t="str">
        <f t="shared" si="15"/>
        <v/>
      </c>
      <c r="AD50" s="635" t="str">
        <f t="shared" si="16"/>
        <v/>
      </c>
      <c r="AE50" s="633" t="str">
        <f t="shared" si="17"/>
        <v/>
      </c>
      <c r="AF50" s="632" t="str">
        <f t="shared" si="18"/>
        <v/>
      </c>
      <c r="AG50" s="634" t="str">
        <f t="shared" si="19"/>
        <v/>
      </c>
      <c r="AH50" s="635" t="str">
        <f t="shared" si="20"/>
        <v/>
      </c>
      <c r="AI50" s="633" t="str">
        <f t="shared" si="21"/>
        <v/>
      </c>
      <c r="AJ50" s="632" t="str">
        <f t="shared" si="22"/>
        <v/>
      </c>
      <c r="AK50" s="636" t="str">
        <f t="shared" si="23"/>
        <v/>
      </c>
      <c r="AL50" s="637" t="str">
        <f t="shared" si="24"/>
        <v/>
      </c>
      <c r="AM50" s="633" t="str">
        <f t="shared" si="25"/>
        <v/>
      </c>
      <c r="AN50" s="38"/>
    </row>
    <row r="51" spans="1:40" s="160" customFormat="1" ht="15" x14ac:dyDescent="0.25">
      <c r="A51" s="36"/>
      <c r="B51" s="81"/>
      <c r="C51" s="348"/>
      <c r="D51" s="349"/>
      <c r="E51" s="350"/>
      <c r="F51" s="350"/>
      <c r="G51" s="350"/>
      <c r="H51" s="350"/>
      <c r="I51" s="350"/>
      <c r="J51" s="351"/>
      <c r="K51" s="350"/>
      <c r="L51" s="352"/>
      <c r="M51" s="81"/>
      <c r="N51" s="632" t="str">
        <f t="shared" si="0"/>
        <v/>
      </c>
      <c r="O51" s="633" t="str">
        <f t="shared" si="1"/>
        <v/>
      </c>
      <c r="P51" s="632" t="str">
        <f t="shared" si="2"/>
        <v/>
      </c>
      <c r="Q51" s="634" t="str">
        <f t="shared" si="3"/>
        <v/>
      </c>
      <c r="R51" s="635" t="str">
        <f t="shared" si="4"/>
        <v/>
      </c>
      <c r="S51" s="633" t="str">
        <f t="shared" si="5"/>
        <v/>
      </c>
      <c r="T51" s="632" t="str">
        <f t="shared" si="6"/>
        <v/>
      </c>
      <c r="U51" s="634" t="str">
        <f t="shared" si="7"/>
        <v/>
      </c>
      <c r="V51" s="635" t="str">
        <f t="shared" si="8"/>
        <v/>
      </c>
      <c r="W51" s="633" t="str">
        <f t="shared" si="9"/>
        <v/>
      </c>
      <c r="X51" s="632" t="str">
        <f t="shared" si="10"/>
        <v/>
      </c>
      <c r="Y51" s="634" t="str">
        <f t="shared" si="11"/>
        <v/>
      </c>
      <c r="Z51" s="635" t="str">
        <f t="shared" si="12"/>
        <v/>
      </c>
      <c r="AA51" s="633" t="str">
        <f t="shared" si="13"/>
        <v/>
      </c>
      <c r="AB51" s="632" t="str">
        <f t="shared" si="14"/>
        <v/>
      </c>
      <c r="AC51" s="634" t="str">
        <f t="shared" si="15"/>
        <v/>
      </c>
      <c r="AD51" s="635" t="str">
        <f t="shared" si="16"/>
        <v/>
      </c>
      <c r="AE51" s="633" t="str">
        <f t="shared" si="17"/>
        <v/>
      </c>
      <c r="AF51" s="632" t="str">
        <f t="shared" si="18"/>
        <v/>
      </c>
      <c r="AG51" s="634" t="str">
        <f t="shared" si="19"/>
        <v/>
      </c>
      <c r="AH51" s="635" t="str">
        <f t="shared" si="20"/>
        <v/>
      </c>
      <c r="AI51" s="633" t="str">
        <f t="shared" si="21"/>
        <v/>
      </c>
      <c r="AJ51" s="632" t="str">
        <f t="shared" si="22"/>
        <v/>
      </c>
      <c r="AK51" s="636" t="str">
        <f t="shared" si="23"/>
        <v/>
      </c>
      <c r="AL51" s="637" t="str">
        <f t="shared" si="24"/>
        <v/>
      </c>
      <c r="AM51" s="633" t="str">
        <f t="shared" si="25"/>
        <v/>
      </c>
      <c r="AN51" s="38"/>
    </row>
    <row r="52" spans="1:40" s="160" customFormat="1" ht="15" x14ac:dyDescent="0.25">
      <c r="A52" s="36"/>
      <c r="B52" s="81"/>
      <c r="C52" s="348"/>
      <c r="D52" s="349"/>
      <c r="E52" s="350"/>
      <c r="F52" s="350"/>
      <c r="G52" s="350"/>
      <c r="H52" s="350"/>
      <c r="I52" s="350"/>
      <c r="J52" s="351"/>
      <c r="K52" s="350"/>
      <c r="L52" s="352"/>
      <c r="M52" s="81"/>
      <c r="N52" s="632" t="str">
        <f t="shared" si="0"/>
        <v/>
      </c>
      <c r="O52" s="633" t="str">
        <f t="shared" si="1"/>
        <v/>
      </c>
      <c r="P52" s="632" t="str">
        <f t="shared" si="2"/>
        <v/>
      </c>
      <c r="Q52" s="634" t="str">
        <f t="shared" si="3"/>
        <v/>
      </c>
      <c r="R52" s="635" t="str">
        <f t="shared" si="4"/>
        <v/>
      </c>
      <c r="S52" s="633" t="str">
        <f t="shared" si="5"/>
        <v/>
      </c>
      <c r="T52" s="632" t="str">
        <f t="shared" si="6"/>
        <v/>
      </c>
      <c r="U52" s="634" t="str">
        <f t="shared" si="7"/>
        <v/>
      </c>
      <c r="V52" s="635" t="str">
        <f t="shared" si="8"/>
        <v/>
      </c>
      <c r="W52" s="633" t="str">
        <f t="shared" si="9"/>
        <v/>
      </c>
      <c r="X52" s="632" t="str">
        <f t="shared" si="10"/>
        <v/>
      </c>
      <c r="Y52" s="634" t="str">
        <f t="shared" si="11"/>
        <v/>
      </c>
      <c r="Z52" s="635" t="str">
        <f t="shared" si="12"/>
        <v/>
      </c>
      <c r="AA52" s="633" t="str">
        <f t="shared" si="13"/>
        <v/>
      </c>
      <c r="AB52" s="632" t="str">
        <f t="shared" si="14"/>
        <v/>
      </c>
      <c r="AC52" s="634" t="str">
        <f t="shared" si="15"/>
        <v/>
      </c>
      <c r="AD52" s="635" t="str">
        <f t="shared" si="16"/>
        <v/>
      </c>
      <c r="AE52" s="633" t="str">
        <f t="shared" si="17"/>
        <v/>
      </c>
      <c r="AF52" s="632" t="str">
        <f t="shared" si="18"/>
        <v/>
      </c>
      <c r="AG52" s="634" t="str">
        <f t="shared" si="19"/>
        <v/>
      </c>
      <c r="AH52" s="635" t="str">
        <f t="shared" si="20"/>
        <v/>
      </c>
      <c r="AI52" s="633" t="str">
        <f t="shared" si="21"/>
        <v/>
      </c>
      <c r="AJ52" s="632" t="str">
        <f t="shared" si="22"/>
        <v/>
      </c>
      <c r="AK52" s="636" t="str">
        <f t="shared" si="23"/>
        <v/>
      </c>
      <c r="AL52" s="637" t="str">
        <f t="shared" si="24"/>
        <v/>
      </c>
      <c r="AM52" s="633" t="str">
        <f t="shared" si="25"/>
        <v/>
      </c>
      <c r="AN52" s="38"/>
    </row>
    <row r="53" spans="1:40" s="160" customFormat="1" ht="15.6" thickBot="1" x14ac:dyDescent="0.3">
      <c r="A53" s="36"/>
      <c r="B53" s="81"/>
      <c r="C53" s="533"/>
      <c r="D53" s="353"/>
      <c r="E53" s="354"/>
      <c r="F53" s="354"/>
      <c r="G53" s="354"/>
      <c r="H53" s="354"/>
      <c r="I53" s="354"/>
      <c r="J53" s="355"/>
      <c r="K53" s="354"/>
      <c r="L53" s="356"/>
      <c r="M53" s="541"/>
      <c r="N53" s="638" t="str">
        <f t="shared" si="0"/>
        <v/>
      </c>
      <c r="O53" s="639" t="str">
        <f t="shared" si="1"/>
        <v/>
      </c>
      <c r="P53" s="638" t="str">
        <f t="shared" si="2"/>
        <v/>
      </c>
      <c r="Q53" s="640" t="str">
        <f t="shared" si="3"/>
        <v/>
      </c>
      <c r="R53" s="641" t="str">
        <f t="shared" si="4"/>
        <v/>
      </c>
      <c r="S53" s="639" t="str">
        <f t="shared" si="5"/>
        <v/>
      </c>
      <c r="T53" s="638" t="str">
        <f t="shared" si="6"/>
        <v/>
      </c>
      <c r="U53" s="640" t="str">
        <f t="shared" si="7"/>
        <v/>
      </c>
      <c r="V53" s="641" t="str">
        <f t="shared" si="8"/>
        <v/>
      </c>
      <c r="W53" s="639" t="str">
        <f t="shared" si="9"/>
        <v/>
      </c>
      <c r="X53" s="638" t="str">
        <f t="shared" si="10"/>
        <v/>
      </c>
      <c r="Y53" s="640" t="str">
        <f t="shared" si="11"/>
        <v/>
      </c>
      <c r="Z53" s="641" t="str">
        <f t="shared" si="12"/>
        <v/>
      </c>
      <c r="AA53" s="639" t="str">
        <f t="shared" si="13"/>
        <v/>
      </c>
      <c r="AB53" s="638" t="str">
        <f t="shared" si="14"/>
        <v/>
      </c>
      <c r="AC53" s="640" t="str">
        <f t="shared" si="15"/>
        <v/>
      </c>
      <c r="AD53" s="641" t="str">
        <f t="shared" si="16"/>
        <v/>
      </c>
      <c r="AE53" s="639" t="str">
        <f t="shared" si="17"/>
        <v/>
      </c>
      <c r="AF53" s="638" t="str">
        <f t="shared" si="18"/>
        <v/>
      </c>
      <c r="AG53" s="640" t="str">
        <f t="shared" si="19"/>
        <v/>
      </c>
      <c r="AH53" s="641" t="str">
        <f t="shared" si="20"/>
        <v/>
      </c>
      <c r="AI53" s="639" t="str">
        <f t="shared" si="21"/>
        <v/>
      </c>
      <c r="AJ53" s="642" t="str">
        <f>IF(L53=0,"",IF(K53=0,"",L53-K53))</f>
        <v/>
      </c>
      <c r="AK53" s="640" t="str">
        <f t="shared" si="23"/>
        <v/>
      </c>
      <c r="AL53" s="641" t="str">
        <f t="shared" si="24"/>
        <v/>
      </c>
      <c r="AM53" s="639" t="str">
        <f t="shared" si="25"/>
        <v/>
      </c>
      <c r="AN53" s="38"/>
    </row>
    <row r="54" spans="1:40" ht="12" customHeight="1" x14ac:dyDescent="0.3">
      <c r="A54" s="26"/>
      <c r="B54" s="38"/>
      <c r="C54" s="38"/>
      <c r="D54" s="122"/>
      <c r="E54" s="81"/>
      <c r="F54" s="38"/>
      <c r="G54" s="38"/>
      <c r="H54" s="38"/>
      <c r="I54" s="38"/>
      <c r="J54" s="38"/>
      <c r="K54" s="38"/>
      <c r="L54" s="38"/>
      <c r="M54" s="38"/>
      <c r="N54" s="83"/>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row>
    <row r="55" spans="1:40" ht="15.6" x14ac:dyDescent="0.3">
      <c r="A55" s="26"/>
      <c r="B55" s="38"/>
      <c r="C55" s="83" t="s">
        <v>326</v>
      </c>
      <c r="D55" s="38"/>
      <c r="E55" s="38"/>
      <c r="F55" s="38"/>
      <c r="G55" s="38"/>
      <c r="H55" s="38"/>
      <c r="I55" s="38"/>
      <c r="J55" s="38"/>
      <c r="K55" s="38"/>
      <c r="L55" s="38"/>
      <c r="M55" s="38"/>
      <c r="N55" s="83"/>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row>
    <row r="56" spans="1:40" ht="4.5" customHeight="1" thickBot="1" x14ac:dyDescent="0.35">
      <c r="A56" s="26"/>
      <c r="B56" s="38"/>
      <c r="C56" s="83"/>
      <c r="D56" s="38"/>
      <c r="E56" s="38"/>
      <c r="F56" s="38"/>
      <c r="G56" s="38"/>
      <c r="H56" s="38"/>
      <c r="I56" s="38"/>
      <c r="J56" s="38"/>
      <c r="K56" s="38"/>
      <c r="L56" s="38"/>
      <c r="M56" s="38"/>
      <c r="N56" s="244"/>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244"/>
      <c r="AN56" s="38"/>
    </row>
    <row r="57" spans="1:40" ht="16.8" thickTop="1" thickBot="1" x14ac:dyDescent="0.35">
      <c r="A57" s="26"/>
      <c r="B57" s="38"/>
      <c r="C57" s="38"/>
      <c r="D57" s="38"/>
      <c r="E57" s="38"/>
      <c r="F57" s="812" t="s">
        <v>689</v>
      </c>
      <c r="G57" s="813"/>
      <c r="H57" s="813"/>
      <c r="I57" s="813"/>
      <c r="J57" s="813"/>
      <c r="K57" s="813"/>
      <c r="L57" s="814"/>
      <c r="M57" s="38"/>
      <c r="N57" s="815" t="s">
        <v>595</v>
      </c>
      <c r="O57" s="816"/>
      <c r="P57" s="816"/>
      <c r="Q57" s="816"/>
      <c r="R57" s="816"/>
      <c r="S57" s="816"/>
      <c r="T57" s="816"/>
      <c r="U57" s="816"/>
      <c r="V57" s="816"/>
      <c r="W57" s="816"/>
      <c r="X57" s="816"/>
      <c r="Y57" s="816"/>
      <c r="Z57" s="816"/>
      <c r="AA57" s="816"/>
      <c r="AB57" s="816"/>
      <c r="AC57" s="816"/>
      <c r="AD57" s="816"/>
      <c r="AE57" s="816"/>
      <c r="AF57" s="816"/>
      <c r="AG57" s="816"/>
      <c r="AH57" s="816"/>
      <c r="AI57" s="816"/>
      <c r="AJ57" s="816"/>
      <c r="AK57" s="816"/>
      <c r="AL57" s="816"/>
      <c r="AM57" s="817"/>
      <c r="AN57" s="38"/>
    </row>
    <row r="58" spans="1:40" ht="39" customHeight="1" thickTop="1" x14ac:dyDescent="0.25">
      <c r="A58" s="26"/>
      <c r="B58" s="38"/>
      <c r="C58" s="255" t="s">
        <v>220</v>
      </c>
      <c r="D58" s="256" t="s">
        <v>308</v>
      </c>
      <c r="E58" s="257" t="s">
        <v>599</v>
      </c>
      <c r="F58" s="258" t="s">
        <v>600</v>
      </c>
      <c r="G58" s="258" t="s">
        <v>601</v>
      </c>
      <c r="H58" s="258" t="s">
        <v>602</v>
      </c>
      <c r="I58" s="258" t="s">
        <v>603</v>
      </c>
      <c r="J58" s="258" t="s">
        <v>604</v>
      </c>
      <c r="K58" s="258" t="s">
        <v>605</v>
      </c>
      <c r="L58" s="259" t="s">
        <v>606</v>
      </c>
      <c r="M58" s="38"/>
      <c r="N58" s="798" t="s">
        <v>37</v>
      </c>
      <c r="O58" s="800"/>
      <c r="P58" s="798" t="s">
        <v>38</v>
      </c>
      <c r="Q58" s="799"/>
      <c r="R58" s="799"/>
      <c r="S58" s="800"/>
      <c r="T58" s="798" t="s">
        <v>39</v>
      </c>
      <c r="U58" s="799"/>
      <c r="V58" s="799"/>
      <c r="W58" s="800"/>
      <c r="X58" s="798" t="s">
        <v>40</v>
      </c>
      <c r="Y58" s="799"/>
      <c r="Z58" s="799"/>
      <c r="AA58" s="800"/>
      <c r="AB58" s="798" t="s">
        <v>41</v>
      </c>
      <c r="AC58" s="799"/>
      <c r="AD58" s="799"/>
      <c r="AE58" s="800"/>
      <c r="AF58" s="798" t="s">
        <v>42</v>
      </c>
      <c r="AG58" s="799"/>
      <c r="AH58" s="799"/>
      <c r="AI58" s="800"/>
      <c r="AJ58" s="798" t="s">
        <v>43</v>
      </c>
      <c r="AK58" s="799"/>
      <c r="AL58" s="799"/>
      <c r="AM58" s="800"/>
      <c r="AN58" s="38"/>
    </row>
    <row r="59" spans="1:40" ht="13.2" x14ac:dyDescent="0.25">
      <c r="A59" s="26"/>
      <c r="B59" s="38"/>
      <c r="C59" s="260"/>
      <c r="D59" s="261"/>
      <c r="E59" s="643" t="str">
        <f>E23</f>
        <v>2017-18</v>
      </c>
      <c r="F59" s="643" t="str">
        <f t="shared" ref="F59:L59" si="26">F23</f>
        <v>2018-19</v>
      </c>
      <c r="G59" s="629" t="str">
        <f t="shared" si="26"/>
        <v>2019-20</v>
      </c>
      <c r="H59" s="629" t="str">
        <f t="shared" si="26"/>
        <v>2020-21</v>
      </c>
      <c r="I59" s="629" t="str">
        <f t="shared" si="26"/>
        <v>2021-22</v>
      </c>
      <c r="J59" s="629" t="str">
        <f t="shared" si="26"/>
        <v>2022-23</v>
      </c>
      <c r="K59" s="629" t="str">
        <f t="shared" si="26"/>
        <v>2023-24</v>
      </c>
      <c r="L59" s="629" t="str">
        <f t="shared" si="26"/>
        <v>2024-25</v>
      </c>
      <c r="M59" s="38"/>
      <c r="N59" s="235" t="s">
        <v>44</v>
      </c>
      <c r="O59" s="232" t="s">
        <v>67</v>
      </c>
      <c r="P59" s="235" t="s">
        <v>44</v>
      </c>
      <c r="Q59" s="231" t="s">
        <v>67</v>
      </c>
      <c r="R59" s="228" t="s">
        <v>45</v>
      </c>
      <c r="S59" s="232" t="s">
        <v>67</v>
      </c>
      <c r="T59" s="235" t="s">
        <v>44</v>
      </c>
      <c r="U59" s="231" t="s">
        <v>67</v>
      </c>
      <c r="V59" s="228" t="s">
        <v>45</v>
      </c>
      <c r="W59" s="232" t="s">
        <v>67</v>
      </c>
      <c r="X59" s="235" t="s">
        <v>44</v>
      </c>
      <c r="Y59" s="231" t="s">
        <v>67</v>
      </c>
      <c r="Z59" s="228" t="s">
        <v>45</v>
      </c>
      <c r="AA59" s="232" t="s">
        <v>67</v>
      </c>
      <c r="AB59" s="235" t="s">
        <v>44</v>
      </c>
      <c r="AC59" s="231" t="s">
        <v>67</v>
      </c>
      <c r="AD59" s="228" t="s">
        <v>45</v>
      </c>
      <c r="AE59" s="232" t="s">
        <v>67</v>
      </c>
      <c r="AF59" s="235" t="s">
        <v>44</v>
      </c>
      <c r="AG59" s="231" t="s">
        <v>67</v>
      </c>
      <c r="AH59" s="228" t="s">
        <v>45</v>
      </c>
      <c r="AI59" s="232" t="s">
        <v>67</v>
      </c>
      <c r="AJ59" s="235" t="s">
        <v>44</v>
      </c>
      <c r="AK59" s="228" t="s">
        <v>67</v>
      </c>
      <c r="AL59" s="229" t="s">
        <v>45</v>
      </c>
      <c r="AM59" s="232" t="s">
        <v>67</v>
      </c>
      <c r="AN59" s="38"/>
    </row>
    <row r="60" spans="1:40" ht="13.2" x14ac:dyDescent="0.25">
      <c r="A60" s="26"/>
      <c r="B60" s="38"/>
      <c r="C60" s="261" t="s">
        <v>207</v>
      </c>
      <c r="D60" s="644" t="str">
        <f>IF('WK2 - Notional General Income'!C17="","",'WK2 - Notional General Income'!C17)</f>
        <v>Urban/Village</v>
      </c>
      <c r="E60" s="635">
        <f>IF('WK2 - Notional General Income'!L17="","",'WK2 - Notional General Income'!L17/'WK2 - Notional General Income'!D17)</f>
        <v>1169.834439326047</v>
      </c>
      <c r="F60" s="635">
        <f>IF('WK3 - Notional GI Yr1 YIELD'!L14="","",'WK3 - Notional GI Yr1 YIELD'!L14/'WK3 - Notional GI Yr1 YIELD'!D14)</f>
        <v>1196.7186237070603</v>
      </c>
      <c r="G60" s="472">
        <f>F60*1.025</f>
        <v>1226.6365892997367</v>
      </c>
      <c r="H60" s="472">
        <f t="shared" ref="H60:J61" si="27">G60*1.025</f>
        <v>1257.30250403223</v>
      </c>
      <c r="I60" s="472">
        <f t="shared" si="27"/>
        <v>1288.7350666330356</v>
      </c>
      <c r="J60" s="472">
        <f t="shared" si="27"/>
        <v>1320.9534432988614</v>
      </c>
      <c r="K60" s="472"/>
      <c r="L60" s="472"/>
      <c r="M60" s="38"/>
      <c r="N60" s="632">
        <f>IF(F60="","",IF(E60=0,"",F60-E60))</f>
        <v>26.884184381013256</v>
      </c>
      <c r="O60" s="633">
        <f>IF(N60="","",N60/E60)</f>
        <v>2.2981187317840886E-2</v>
      </c>
      <c r="P60" s="632">
        <f>IF(G60=0,"",IF(F60=0,"",G60-F60))</f>
        <v>29.91796559267641</v>
      </c>
      <c r="Q60" s="634">
        <f>IF(P60="","",P60/F60)</f>
        <v>2.4999999999999918E-2</v>
      </c>
      <c r="R60" s="635">
        <f>IF(P60="","",P60+N60)</f>
        <v>56.802149973689666</v>
      </c>
      <c r="S60" s="633">
        <f>IF(R60="","",R60/E60)</f>
        <v>4.8555717000786827E-2</v>
      </c>
      <c r="T60" s="632">
        <f>IF(H60=0,"",IF(G60=0,"",H60-G60))</f>
        <v>30.66591473249332</v>
      </c>
      <c r="U60" s="634">
        <f>IF(T60="","",T60/G60)</f>
        <v>2.4999999999999922E-2</v>
      </c>
      <c r="V60" s="635">
        <f>IF(T60="","",T60+R60)</f>
        <v>87.468064706182986</v>
      </c>
      <c r="W60" s="633">
        <f>IF(V60="","",V60/E60)</f>
        <v>7.4769609925806418E-2</v>
      </c>
      <c r="X60" s="632">
        <f>IF(I60=0,"",IF(H60=0,"",I60-H60))</f>
        <v>31.432562600805568</v>
      </c>
      <c r="Y60" s="634">
        <f>IF(X60="","",X60/H60)</f>
        <v>2.4999999999999856E-2</v>
      </c>
      <c r="Z60" s="635">
        <f>IF(X60="","",X60+V60)</f>
        <v>118.90062730698855</v>
      </c>
      <c r="AA60" s="633">
        <f>IF(Z60="","",Z60/E60)</f>
        <v>0.10163885017395143</v>
      </c>
      <c r="AB60" s="632">
        <f>IF(J60=0,"",IF(I60=0,"",J60-I60))</f>
        <v>32.218376665825872</v>
      </c>
      <c r="AC60" s="634">
        <f>IF(AB60="","",AB60/I60)</f>
        <v>2.4999999999999988E-2</v>
      </c>
      <c r="AD60" s="635">
        <f>IF(AB60="","",AB60+Z60)</f>
        <v>151.11900397281443</v>
      </c>
      <c r="AE60" s="633">
        <f>IF(AD60="","",AD60/E60)</f>
        <v>0.1291798214283002</v>
      </c>
      <c r="AF60" s="632" t="str">
        <f>IF(K60=0,"",IF(J60=0,"",K60-J60))</f>
        <v/>
      </c>
      <c r="AG60" s="634" t="str">
        <f>IF(AF60="","",AF60/J60)</f>
        <v/>
      </c>
      <c r="AH60" s="635" t="str">
        <f>IF(AF60="","",AF60+AD60)</f>
        <v/>
      </c>
      <c r="AI60" s="633" t="str">
        <f>IF(AH60="","",AH60/E60)</f>
        <v/>
      </c>
      <c r="AJ60" s="632" t="str">
        <f>IF(L60=0,"",IF(K60=0,"",L60-K60))</f>
        <v/>
      </c>
      <c r="AK60" s="636" t="str">
        <f>IF(AJ60="","",AJ60/K60)</f>
        <v/>
      </c>
      <c r="AL60" s="637" t="str">
        <f>IF(AJ60="","",AJ60+AH60)</f>
        <v/>
      </c>
      <c r="AM60" s="633" t="str">
        <f>IF(AL60="","",AL60/E60)</f>
        <v/>
      </c>
      <c r="AN60" s="38"/>
    </row>
    <row r="61" spans="1:40" ht="13.2" x14ac:dyDescent="0.25">
      <c r="A61" s="26"/>
      <c r="B61" s="38"/>
      <c r="C61" s="261" t="s">
        <v>207</v>
      </c>
      <c r="D61" s="644" t="str">
        <f>IF('WK2 - Notional General Income'!C18="","",'WK2 - Notional General Income'!C18)</f>
        <v>Rural</v>
      </c>
      <c r="E61" s="635">
        <f>IF('WK2 - Notional General Income'!L18="","",'WK2 - Notional General Income'!L18/'WK2 - Notional General Income'!D18)</f>
        <v>1465.4139200000002</v>
      </c>
      <c r="F61" s="635">
        <f>IF('WK3 - Notional GI Yr1 YIELD'!L15="","",'WK3 - Notional GI Yr1 YIELD'!L15/'WK3 - Notional GI Yr1 YIELD'!D15)</f>
        <v>1499.0075899999999</v>
      </c>
      <c r="G61" s="472">
        <f>F61*1.025</f>
        <v>1536.4827797499997</v>
      </c>
      <c r="H61" s="472">
        <f t="shared" si="27"/>
        <v>1574.8948492437496</v>
      </c>
      <c r="I61" s="472">
        <f t="shared" si="27"/>
        <v>1614.2672204748433</v>
      </c>
      <c r="J61" s="472">
        <f t="shared" si="27"/>
        <v>1654.6239009867143</v>
      </c>
      <c r="K61" s="472"/>
      <c r="L61" s="472"/>
      <c r="M61" s="38"/>
      <c r="N61" s="632">
        <f t="shared" ref="N61:N124" si="28">IF(F61="","",IF(E61=0,"",F61-E61))</f>
        <v>33.593669999999747</v>
      </c>
      <c r="O61" s="633">
        <f t="shared" ref="O61:O124" si="29">IF(N61="","",N61/E61)</f>
        <v>2.2924355734248617E-2</v>
      </c>
      <c r="P61" s="632">
        <f t="shared" ref="P61:P124" si="30">IF(G61=0,"",IF(F61=0,"",G61-F61))</f>
        <v>37.475189749999799</v>
      </c>
      <c r="Q61" s="634">
        <f t="shared" ref="Q61:Q124" si="31">IF(P61="","",P61/F61)</f>
        <v>2.4999999999999866E-2</v>
      </c>
      <c r="R61" s="635">
        <f t="shared" ref="R61:R124" si="32">IF(P61="","",P61+N61)</f>
        <v>71.068859749999547</v>
      </c>
      <c r="S61" s="633">
        <f t="shared" ref="S61:S124" si="33">IF(R61="","",R61/E61)</f>
        <v>4.8497464627604694E-2</v>
      </c>
      <c r="T61" s="632">
        <f t="shared" ref="T61:T124" si="34">IF(H61=0,"",IF(G61=0,"",H61-G61))</f>
        <v>38.412069493749868</v>
      </c>
      <c r="U61" s="634">
        <f t="shared" ref="U61:U124" si="35">IF(T61="","",T61/G61)</f>
        <v>2.4999999999999918E-2</v>
      </c>
      <c r="V61" s="635">
        <f t="shared" ref="V61:V124" si="36">IF(T61="","",T61+R61)</f>
        <v>109.48092924374942</v>
      </c>
      <c r="W61" s="633">
        <f t="shared" ref="W61:W124" si="37">IF(V61="","",V61/E61)</f>
        <v>7.4709901243294727E-2</v>
      </c>
      <c r="X61" s="632">
        <f t="shared" ref="X61:X124" si="38">IF(I61=0,"",IF(H61=0,"",I61-H61))</f>
        <v>39.372371231093666</v>
      </c>
      <c r="Y61" s="634">
        <f t="shared" ref="Y61:Y124" si="39">IF(X61="","",X61/H61)</f>
        <v>2.4999999999999953E-2</v>
      </c>
      <c r="Z61" s="635">
        <f t="shared" ref="Z61:Z124" si="40">IF(X61="","",X61+V61)</f>
        <v>148.85330047484308</v>
      </c>
      <c r="AA61" s="633">
        <f t="shared" ref="AA61:AA124" si="41">IF(Z61="","",Z61/E61)</f>
        <v>0.10157764877437704</v>
      </c>
      <c r="AB61" s="632">
        <f t="shared" ref="AB61:AB124" si="42">IF(J61=0,"",IF(I61=0,"",J61-I61))</f>
        <v>40.356680511870991</v>
      </c>
      <c r="AC61" s="634">
        <f t="shared" ref="AC61:AC124" si="43">IF(AB61="","",AB61/I61)</f>
        <v>2.4999999999999942E-2</v>
      </c>
      <c r="AD61" s="635">
        <f t="shared" ref="AD61:AD124" si="44">IF(AB61="","",AB61+Z61)</f>
        <v>189.20998098671407</v>
      </c>
      <c r="AE61" s="633">
        <f t="shared" ref="AE61:AE124" si="45">IF(AD61="","",AD61/E61)</f>
        <v>0.12911708999373642</v>
      </c>
      <c r="AF61" s="632" t="str">
        <f t="shared" ref="AF61:AF124" si="46">IF(K61=0,"",IF(J61=0,"",K61-J61))</f>
        <v/>
      </c>
      <c r="AG61" s="634" t="str">
        <f t="shared" ref="AG61:AG124" si="47">IF(AF61="","",AF61/J61)</f>
        <v/>
      </c>
      <c r="AH61" s="635" t="str">
        <f t="shared" ref="AH61:AH124" si="48">IF(AF61="","",AF61+AD61)</f>
        <v/>
      </c>
      <c r="AI61" s="633" t="str">
        <f t="shared" ref="AI61:AI124" si="49">IF(AH61="","",AH61/E61)</f>
        <v/>
      </c>
      <c r="AJ61" s="632" t="str">
        <f t="shared" ref="AJ61:AJ124" si="50">IF(L61=0,"",IF(K61=0,"",L61-K61))</f>
        <v/>
      </c>
      <c r="AK61" s="636" t="str">
        <f t="shared" ref="AK61:AK124" si="51">IF(AJ61="","",AJ61/K61)</f>
        <v/>
      </c>
      <c r="AL61" s="637" t="str">
        <f t="shared" ref="AL61:AL124" si="52">IF(AJ61="","",AJ61+AH61)</f>
        <v/>
      </c>
      <c r="AM61" s="633" t="str">
        <f t="shared" ref="AM61:AM124" si="53">IF(AL61="","",AL61/E61)</f>
        <v/>
      </c>
      <c r="AN61" s="38"/>
    </row>
    <row r="62" spans="1:40" ht="13.2" x14ac:dyDescent="0.25">
      <c r="A62" s="26"/>
      <c r="B62" s="38"/>
      <c r="C62" s="261" t="s">
        <v>207</v>
      </c>
      <c r="D62" s="644" t="str">
        <f>IF('WK2 - Notional General Income'!C19="","",'WK2 - Notional General Income'!C19)</f>
        <v/>
      </c>
      <c r="E62" s="635" t="str">
        <f>IF('WK2 - Notional General Income'!L19="","",'WK2 - Notional General Income'!L19/'WK2 - Notional General Income'!D19)</f>
        <v/>
      </c>
      <c r="F62" s="635" t="str">
        <f>IF('WK3 - Notional GI Yr1 YIELD'!L16="","",'WK3 - Notional GI Yr1 YIELD'!L16/'WK3 - Notional GI Yr1 YIELD'!D16)</f>
        <v/>
      </c>
      <c r="G62" s="472"/>
      <c r="H62" s="472"/>
      <c r="I62" s="472"/>
      <c r="J62" s="472"/>
      <c r="K62" s="472"/>
      <c r="L62" s="472"/>
      <c r="M62" s="38"/>
      <c r="N62" s="632" t="str">
        <f t="shared" si="28"/>
        <v/>
      </c>
      <c r="O62" s="633" t="str">
        <f t="shared" si="29"/>
        <v/>
      </c>
      <c r="P62" s="632" t="str">
        <f t="shared" si="30"/>
        <v/>
      </c>
      <c r="Q62" s="634" t="str">
        <f t="shared" si="31"/>
        <v/>
      </c>
      <c r="R62" s="635" t="str">
        <f t="shared" si="32"/>
        <v/>
      </c>
      <c r="S62" s="633" t="str">
        <f t="shared" si="33"/>
        <v/>
      </c>
      <c r="T62" s="632" t="str">
        <f t="shared" si="34"/>
        <v/>
      </c>
      <c r="U62" s="634" t="str">
        <f t="shared" si="35"/>
        <v/>
      </c>
      <c r="V62" s="635" t="str">
        <f t="shared" si="36"/>
        <v/>
      </c>
      <c r="W62" s="633" t="str">
        <f t="shared" si="37"/>
        <v/>
      </c>
      <c r="X62" s="632" t="str">
        <f t="shared" si="38"/>
        <v/>
      </c>
      <c r="Y62" s="634" t="str">
        <f t="shared" si="39"/>
        <v/>
      </c>
      <c r="Z62" s="635" t="str">
        <f t="shared" si="40"/>
        <v/>
      </c>
      <c r="AA62" s="633" t="str">
        <f t="shared" si="41"/>
        <v/>
      </c>
      <c r="AB62" s="632" t="str">
        <f t="shared" si="42"/>
        <v/>
      </c>
      <c r="AC62" s="634" t="str">
        <f t="shared" si="43"/>
        <v/>
      </c>
      <c r="AD62" s="635" t="str">
        <f t="shared" si="44"/>
        <v/>
      </c>
      <c r="AE62" s="633" t="str">
        <f t="shared" si="45"/>
        <v/>
      </c>
      <c r="AF62" s="632" t="str">
        <f t="shared" si="46"/>
        <v/>
      </c>
      <c r="AG62" s="634" t="str">
        <f t="shared" si="47"/>
        <v/>
      </c>
      <c r="AH62" s="635" t="str">
        <f t="shared" si="48"/>
        <v/>
      </c>
      <c r="AI62" s="633" t="str">
        <f t="shared" si="49"/>
        <v/>
      </c>
      <c r="AJ62" s="632" t="str">
        <f t="shared" si="50"/>
        <v/>
      </c>
      <c r="AK62" s="636" t="str">
        <f t="shared" si="51"/>
        <v/>
      </c>
      <c r="AL62" s="637" t="str">
        <f t="shared" si="52"/>
        <v/>
      </c>
      <c r="AM62" s="633" t="str">
        <f t="shared" si="53"/>
        <v/>
      </c>
      <c r="AN62" s="38"/>
    </row>
    <row r="63" spans="1:40" ht="13.2" x14ac:dyDescent="0.25">
      <c r="A63" s="26"/>
      <c r="B63" s="38"/>
      <c r="C63" s="261" t="s">
        <v>207</v>
      </c>
      <c r="D63" s="644" t="str">
        <f>IF('WK2 - Notional General Income'!C20="","",'WK2 - Notional General Income'!C20)</f>
        <v/>
      </c>
      <c r="E63" s="635" t="str">
        <f>IF('WK2 - Notional General Income'!L20="","",'WK2 - Notional General Income'!L20/'WK2 - Notional General Income'!D20)</f>
        <v/>
      </c>
      <c r="F63" s="635" t="str">
        <f>IF('WK3 - Notional GI Yr1 YIELD'!L17="","",'WK3 - Notional GI Yr1 YIELD'!L17/'WK3 - Notional GI Yr1 YIELD'!D17)</f>
        <v/>
      </c>
      <c r="G63" s="472"/>
      <c r="H63" s="472"/>
      <c r="I63" s="472"/>
      <c r="J63" s="472"/>
      <c r="K63" s="472"/>
      <c r="L63" s="472"/>
      <c r="M63" s="38"/>
      <c r="N63" s="632" t="str">
        <f t="shared" si="28"/>
        <v/>
      </c>
      <c r="O63" s="633" t="str">
        <f t="shared" si="29"/>
        <v/>
      </c>
      <c r="P63" s="632" t="str">
        <f t="shared" si="30"/>
        <v/>
      </c>
      <c r="Q63" s="634" t="str">
        <f t="shared" si="31"/>
        <v/>
      </c>
      <c r="R63" s="635" t="str">
        <f t="shared" si="32"/>
        <v/>
      </c>
      <c r="S63" s="633" t="str">
        <f t="shared" si="33"/>
        <v/>
      </c>
      <c r="T63" s="632" t="str">
        <f t="shared" si="34"/>
        <v/>
      </c>
      <c r="U63" s="634" t="str">
        <f t="shared" si="35"/>
        <v/>
      </c>
      <c r="V63" s="635" t="str">
        <f t="shared" si="36"/>
        <v/>
      </c>
      <c r="W63" s="633" t="str">
        <f t="shared" si="37"/>
        <v/>
      </c>
      <c r="X63" s="632" t="str">
        <f t="shared" si="38"/>
        <v/>
      </c>
      <c r="Y63" s="634" t="str">
        <f t="shared" si="39"/>
        <v/>
      </c>
      <c r="Z63" s="635" t="str">
        <f t="shared" si="40"/>
        <v/>
      </c>
      <c r="AA63" s="633" t="str">
        <f t="shared" si="41"/>
        <v/>
      </c>
      <c r="AB63" s="632" t="str">
        <f t="shared" si="42"/>
        <v/>
      </c>
      <c r="AC63" s="634" t="str">
        <f t="shared" si="43"/>
        <v/>
      </c>
      <c r="AD63" s="635" t="str">
        <f t="shared" si="44"/>
        <v/>
      </c>
      <c r="AE63" s="633" t="str">
        <f t="shared" si="45"/>
        <v/>
      </c>
      <c r="AF63" s="632" t="str">
        <f t="shared" si="46"/>
        <v/>
      </c>
      <c r="AG63" s="634" t="str">
        <f t="shared" si="47"/>
        <v/>
      </c>
      <c r="AH63" s="635" t="str">
        <f t="shared" si="48"/>
        <v/>
      </c>
      <c r="AI63" s="633" t="str">
        <f t="shared" si="49"/>
        <v/>
      </c>
      <c r="AJ63" s="632" t="str">
        <f t="shared" si="50"/>
        <v/>
      </c>
      <c r="AK63" s="636" t="str">
        <f t="shared" si="51"/>
        <v/>
      </c>
      <c r="AL63" s="637" t="str">
        <f t="shared" si="52"/>
        <v/>
      </c>
      <c r="AM63" s="633" t="str">
        <f t="shared" si="53"/>
        <v/>
      </c>
      <c r="AN63" s="38"/>
    </row>
    <row r="64" spans="1:40" ht="13.2" x14ac:dyDescent="0.25">
      <c r="A64" s="26"/>
      <c r="B64" s="38"/>
      <c r="C64" s="261" t="s">
        <v>207</v>
      </c>
      <c r="D64" s="644" t="str">
        <f>IF('WK2 - Notional General Income'!C21="","",'WK2 - Notional General Income'!C21)</f>
        <v/>
      </c>
      <c r="E64" s="635" t="str">
        <f>IF('WK2 - Notional General Income'!L21="","",'WK2 - Notional General Income'!L21/'WK2 - Notional General Income'!D21)</f>
        <v/>
      </c>
      <c r="F64" s="635" t="str">
        <f>IF('WK3 - Notional GI Yr1 YIELD'!L18="","",'WK3 - Notional GI Yr1 YIELD'!L18/'WK3 - Notional GI Yr1 YIELD'!D18)</f>
        <v/>
      </c>
      <c r="G64" s="472"/>
      <c r="H64" s="472"/>
      <c r="I64" s="472"/>
      <c r="J64" s="472"/>
      <c r="K64" s="472"/>
      <c r="L64" s="472"/>
      <c r="M64" s="38"/>
      <c r="N64" s="632" t="str">
        <f t="shared" si="28"/>
        <v/>
      </c>
      <c r="O64" s="633" t="str">
        <f t="shared" si="29"/>
        <v/>
      </c>
      <c r="P64" s="632" t="str">
        <f t="shared" si="30"/>
        <v/>
      </c>
      <c r="Q64" s="634" t="str">
        <f t="shared" si="31"/>
        <v/>
      </c>
      <c r="R64" s="635" t="str">
        <f t="shared" si="32"/>
        <v/>
      </c>
      <c r="S64" s="633" t="str">
        <f t="shared" si="33"/>
        <v/>
      </c>
      <c r="T64" s="632" t="str">
        <f t="shared" si="34"/>
        <v/>
      </c>
      <c r="U64" s="634" t="str">
        <f t="shared" si="35"/>
        <v/>
      </c>
      <c r="V64" s="635" t="str">
        <f t="shared" si="36"/>
        <v/>
      </c>
      <c r="W64" s="633" t="str">
        <f t="shared" si="37"/>
        <v/>
      </c>
      <c r="X64" s="632" t="str">
        <f t="shared" si="38"/>
        <v/>
      </c>
      <c r="Y64" s="634" t="str">
        <f t="shared" si="39"/>
        <v/>
      </c>
      <c r="Z64" s="635" t="str">
        <f t="shared" si="40"/>
        <v/>
      </c>
      <c r="AA64" s="633" t="str">
        <f t="shared" si="41"/>
        <v/>
      </c>
      <c r="AB64" s="632" t="str">
        <f t="shared" si="42"/>
        <v/>
      </c>
      <c r="AC64" s="634" t="str">
        <f t="shared" si="43"/>
        <v/>
      </c>
      <c r="AD64" s="635" t="str">
        <f t="shared" si="44"/>
        <v/>
      </c>
      <c r="AE64" s="633" t="str">
        <f t="shared" si="45"/>
        <v/>
      </c>
      <c r="AF64" s="632" t="str">
        <f t="shared" si="46"/>
        <v/>
      </c>
      <c r="AG64" s="634" t="str">
        <f t="shared" si="47"/>
        <v/>
      </c>
      <c r="AH64" s="635" t="str">
        <f t="shared" si="48"/>
        <v/>
      </c>
      <c r="AI64" s="633" t="str">
        <f t="shared" si="49"/>
        <v/>
      </c>
      <c r="AJ64" s="632" t="str">
        <f t="shared" si="50"/>
        <v/>
      </c>
      <c r="AK64" s="636" t="str">
        <f t="shared" si="51"/>
        <v/>
      </c>
      <c r="AL64" s="637" t="str">
        <f t="shared" si="52"/>
        <v/>
      </c>
      <c r="AM64" s="633" t="str">
        <f t="shared" si="53"/>
        <v/>
      </c>
      <c r="AN64" s="38"/>
    </row>
    <row r="65" spans="1:40" ht="13.2" x14ac:dyDescent="0.25">
      <c r="A65" s="26"/>
      <c r="B65" s="38"/>
      <c r="C65" s="261" t="s">
        <v>207</v>
      </c>
      <c r="D65" s="644" t="str">
        <f>IF('WK2 - Notional General Income'!C22="","",'WK2 - Notional General Income'!C22)</f>
        <v/>
      </c>
      <c r="E65" s="635" t="str">
        <f>IF('WK2 - Notional General Income'!L22="","",'WK2 - Notional General Income'!L22/'WK2 - Notional General Income'!D22)</f>
        <v/>
      </c>
      <c r="F65" s="635" t="str">
        <f>IF('WK3 - Notional GI Yr1 YIELD'!L19="","",'WK3 - Notional GI Yr1 YIELD'!L19/'WK3 - Notional GI Yr1 YIELD'!D19)</f>
        <v/>
      </c>
      <c r="G65" s="472"/>
      <c r="H65" s="472"/>
      <c r="I65" s="472"/>
      <c r="J65" s="472"/>
      <c r="K65" s="472"/>
      <c r="L65" s="472"/>
      <c r="M65" s="38"/>
      <c r="N65" s="632" t="str">
        <f t="shared" si="28"/>
        <v/>
      </c>
      <c r="O65" s="633" t="str">
        <f t="shared" si="29"/>
        <v/>
      </c>
      <c r="P65" s="632" t="str">
        <f t="shared" si="30"/>
        <v/>
      </c>
      <c r="Q65" s="634" t="str">
        <f t="shared" si="31"/>
        <v/>
      </c>
      <c r="R65" s="635" t="str">
        <f t="shared" si="32"/>
        <v/>
      </c>
      <c r="S65" s="633" t="str">
        <f t="shared" si="33"/>
        <v/>
      </c>
      <c r="T65" s="632" t="str">
        <f t="shared" si="34"/>
        <v/>
      </c>
      <c r="U65" s="634" t="str">
        <f t="shared" si="35"/>
        <v/>
      </c>
      <c r="V65" s="635" t="str">
        <f t="shared" si="36"/>
        <v/>
      </c>
      <c r="W65" s="633" t="str">
        <f t="shared" si="37"/>
        <v/>
      </c>
      <c r="X65" s="632" t="str">
        <f t="shared" si="38"/>
        <v/>
      </c>
      <c r="Y65" s="634" t="str">
        <f t="shared" si="39"/>
        <v/>
      </c>
      <c r="Z65" s="635" t="str">
        <f t="shared" si="40"/>
        <v/>
      </c>
      <c r="AA65" s="633" t="str">
        <f t="shared" si="41"/>
        <v/>
      </c>
      <c r="AB65" s="632" t="str">
        <f t="shared" si="42"/>
        <v/>
      </c>
      <c r="AC65" s="634" t="str">
        <f t="shared" si="43"/>
        <v/>
      </c>
      <c r="AD65" s="635" t="str">
        <f t="shared" si="44"/>
        <v/>
      </c>
      <c r="AE65" s="633" t="str">
        <f t="shared" si="45"/>
        <v/>
      </c>
      <c r="AF65" s="632" t="str">
        <f t="shared" si="46"/>
        <v/>
      </c>
      <c r="AG65" s="634" t="str">
        <f t="shared" si="47"/>
        <v/>
      </c>
      <c r="AH65" s="635" t="str">
        <f t="shared" si="48"/>
        <v/>
      </c>
      <c r="AI65" s="633" t="str">
        <f t="shared" si="49"/>
        <v/>
      </c>
      <c r="AJ65" s="632" t="str">
        <f t="shared" si="50"/>
        <v/>
      </c>
      <c r="AK65" s="636" t="str">
        <f t="shared" si="51"/>
        <v/>
      </c>
      <c r="AL65" s="637" t="str">
        <f t="shared" si="52"/>
        <v/>
      </c>
      <c r="AM65" s="633" t="str">
        <f t="shared" si="53"/>
        <v/>
      </c>
      <c r="AN65" s="38"/>
    </row>
    <row r="66" spans="1:40" ht="13.2" x14ac:dyDescent="0.25">
      <c r="A66" s="26"/>
      <c r="B66" s="38"/>
      <c r="C66" s="261" t="s">
        <v>207</v>
      </c>
      <c r="D66" s="644" t="str">
        <f>IF('WK2 - Notional General Income'!C23="","",'WK2 - Notional General Income'!C23)</f>
        <v/>
      </c>
      <c r="E66" s="635" t="str">
        <f>IF('WK2 - Notional General Income'!L23="","",'WK2 - Notional General Income'!L23/'WK2 - Notional General Income'!D23)</f>
        <v/>
      </c>
      <c r="F66" s="635" t="str">
        <f>IF('WK3 - Notional GI Yr1 YIELD'!L20="","",'WK3 - Notional GI Yr1 YIELD'!L20/'WK3 - Notional GI Yr1 YIELD'!D20)</f>
        <v/>
      </c>
      <c r="G66" s="472"/>
      <c r="H66" s="472"/>
      <c r="I66" s="472"/>
      <c r="J66" s="472"/>
      <c r="K66" s="472"/>
      <c r="L66" s="472"/>
      <c r="M66" s="38"/>
      <c r="N66" s="632" t="str">
        <f t="shared" si="28"/>
        <v/>
      </c>
      <c r="O66" s="633" t="str">
        <f t="shared" si="29"/>
        <v/>
      </c>
      <c r="P66" s="632" t="str">
        <f t="shared" si="30"/>
        <v/>
      </c>
      <c r="Q66" s="634" t="str">
        <f t="shared" si="31"/>
        <v/>
      </c>
      <c r="R66" s="635" t="str">
        <f t="shared" si="32"/>
        <v/>
      </c>
      <c r="S66" s="633" t="str">
        <f t="shared" si="33"/>
        <v/>
      </c>
      <c r="T66" s="632" t="str">
        <f t="shared" si="34"/>
        <v/>
      </c>
      <c r="U66" s="634" t="str">
        <f t="shared" si="35"/>
        <v/>
      </c>
      <c r="V66" s="635" t="str">
        <f t="shared" si="36"/>
        <v/>
      </c>
      <c r="W66" s="633" t="str">
        <f t="shared" si="37"/>
        <v/>
      </c>
      <c r="X66" s="632" t="str">
        <f t="shared" si="38"/>
        <v/>
      </c>
      <c r="Y66" s="634" t="str">
        <f t="shared" si="39"/>
        <v/>
      </c>
      <c r="Z66" s="635" t="str">
        <f t="shared" si="40"/>
        <v/>
      </c>
      <c r="AA66" s="633" t="str">
        <f t="shared" si="41"/>
        <v/>
      </c>
      <c r="AB66" s="632" t="str">
        <f t="shared" si="42"/>
        <v/>
      </c>
      <c r="AC66" s="634" t="str">
        <f t="shared" si="43"/>
        <v/>
      </c>
      <c r="AD66" s="635" t="str">
        <f t="shared" si="44"/>
        <v/>
      </c>
      <c r="AE66" s="633" t="str">
        <f t="shared" si="45"/>
        <v/>
      </c>
      <c r="AF66" s="632" t="str">
        <f t="shared" si="46"/>
        <v/>
      </c>
      <c r="AG66" s="634" t="str">
        <f t="shared" si="47"/>
        <v/>
      </c>
      <c r="AH66" s="635" t="str">
        <f t="shared" si="48"/>
        <v/>
      </c>
      <c r="AI66" s="633" t="str">
        <f t="shared" si="49"/>
        <v/>
      </c>
      <c r="AJ66" s="632" t="str">
        <f t="shared" si="50"/>
        <v/>
      </c>
      <c r="AK66" s="636" t="str">
        <f t="shared" si="51"/>
        <v/>
      </c>
      <c r="AL66" s="637" t="str">
        <f t="shared" si="52"/>
        <v/>
      </c>
      <c r="AM66" s="633" t="str">
        <f t="shared" si="53"/>
        <v/>
      </c>
      <c r="AN66" s="38"/>
    </row>
    <row r="67" spans="1:40" ht="13.2" x14ac:dyDescent="0.25">
      <c r="A67" s="26"/>
      <c r="B67" s="38"/>
      <c r="C67" s="261" t="s">
        <v>207</v>
      </c>
      <c r="D67" s="644" t="str">
        <f>IF('WK2 - Notional General Income'!C24="","",'WK2 - Notional General Income'!C24)</f>
        <v/>
      </c>
      <c r="E67" s="635" t="str">
        <f>IF('WK2 - Notional General Income'!L24="","",'WK2 - Notional General Income'!L24/'WK2 - Notional General Income'!D24)</f>
        <v/>
      </c>
      <c r="F67" s="635" t="str">
        <f>IF('WK3 - Notional GI Yr1 YIELD'!L21="","",'WK3 - Notional GI Yr1 YIELD'!L21/'WK3 - Notional GI Yr1 YIELD'!D21)</f>
        <v/>
      </c>
      <c r="G67" s="472"/>
      <c r="H67" s="472"/>
      <c r="I67" s="472"/>
      <c r="J67" s="472"/>
      <c r="K67" s="472"/>
      <c r="L67" s="472"/>
      <c r="M67" s="38"/>
      <c r="N67" s="632" t="str">
        <f t="shared" si="28"/>
        <v/>
      </c>
      <c r="O67" s="633" t="str">
        <f t="shared" si="29"/>
        <v/>
      </c>
      <c r="P67" s="632" t="str">
        <f t="shared" si="30"/>
        <v/>
      </c>
      <c r="Q67" s="634" t="str">
        <f t="shared" si="31"/>
        <v/>
      </c>
      <c r="R67" s="635" t="str">
        <f t="shared" si="32"/>
        <v/>
      </c>
      <c r="S67" s="633" t="str">
        <f t="shared" si="33"/>
        <v/>
      </c>
      <c r="T67" s="632" t="str">
        <f t="shared" si="34"/>
        <v/>
      </c>
      <c r="U67" s="634" t="str">
        <f t="shared" si="35"/>
        <v/>
      </c>
      <c r="V67" s="635" t="str">
        <f t="shared" si="36"/>
        <v/>
      </c>
      <c r="W67" s="633" t="str">
        <f t="shared" si="37"/>
        <v/>
      </c>
      <c r="X67" s="632" t="str">
        <f t="shared" si="38"/>
        <v/>
      </c>
      <c r="Y67" s="634" t="str">
        <f t="shared" si="39"/>
        <v/>
      </c>
      <c r="Z67" s="635" t="str">
        <f t="shared" si="40"/>
        <v/>
      </c>
      <c r="AA67" s="633" t="str">
        <f t="shared" si="41"/>
        <v/>
      </c>
      <c r="AB67" s="632" t="str">
        <f t="shared" si="42"/>
        <v/>
      </c>
      <c r="AC67" s="634" t="str">
        <f t="shared" si="43"/>
        <v/>
      </c>
      <c r="AD67" s="635" t="str">
        <f t="shared" si="44"/>
        <v/>
      </c>
      <c r="AE67" s="633" t="str">
        <f t="shared" si="45"/>
        <v/>
      </c>
      <c r="AF67" s="632" t="str">
        <f t="shared" si="46"/>
        <v/>
      </c>
      <c r="AG67" s="634" t="str">
        <f t="shared" si="47"/>
        <v/>
      </c>
      <c r="AH67" s="635" t="str">
        <f t="shared" si="48"/>
        <v/>
      </c>
      <c r="AI67" s="633" t="str">
        <f t="shared" si="49"/>
        <v/>
      </c>
      <c r="AJ67" s="632" t="str">
        <f t="shared" si="50"/>
        <v/>
      </c>
      <c r="AK67" s="636" t="str">
        <f t="shared" si="51"/>
        <v/>
      </c>
      <c r="AL67" s="637" t="str">
        <f t="shared" si="52"/>
        <v/>
      </c>
      <c r="AM67" s="633" t="str">
        <f t="shared" si="53"/>
        <v/>
      </c>
      <c r="AN67" s="38"/>
    </row>
    <row r="68" spans="1:40" ht="13.2" x14ac:dyDescent="0.25">
      <c r="A68" s="26"/>
      <c r="B68" s="38"/>
      <c r="C68" s="261" t="s">
        <v>207</v>
      </c>
      <c r="D68" s="644" t="str">
        <f>IF('WK2 - Notional General Income'!C25="","",'WK2 - Notional General Income'!C25)</f>
        <v/>
      </c>
      <c r="E68" s="635" t="str">
        <f>IF('WK2 - Notional General Income'!L25="","",'WK2 - Notional General Income'!L25/'WK2 - Notional General Income'!D25)</f>
        <v/>
      </c>
      <c r="F68" s="635" t="str">
        <f>IF('WK3 - Notional GI Yr1 YIELD'!L22="","",'WK3 - Notional GI Yr1 YIELD'!L22/'WK3 - Notional GI Yr1 YIELD'!D22)</f>
        <v/>
      </c>
      <c r="G68" s="472"/>
      <c r="H68" s="472"/>
      <c r="I68" s="472"/>
      <c r="J68" s="472"/>
      <c r="K68" s="472"/>
      <c r="L68" s="472"/>
      <c r="M68" s="38"/>
      <c r="N68" s="632" t="str">
        <f t="shared" si="28"/>
        <v/>
      </c>
      <c r="O68" s="633" t="str">
        <f t="shared" si="29"/>
        <v/>
      </c>
      <c r="P68" s="632" t="str">
        <f t="shared" si="30"/>
        <v/>
      </c>
      <c r="Q68" s="634" t="str">
        <f t="shared" si="31"/>
        <v/>
      </c>
      <c r="R68" s="635" t="str">
        <f t="shared" si="32"/>
        <v/>
      </c>
      <c r="S68" s="633" t="str">
        <f t="shared" si="33"/>
        <v/>
      </c>
      <c r="T68" s="632" t="str">
        <f t="shared" si="34"/>
        <v/>
      </c>
      <c r="U68" s="634" t="str">
        <f t="shared" si="35"/>
        <v/>
      </c>
      <c r="V68" s="635" t="str">
        <f t="shared" si="36"/>
        <v/>
      </c>
      <c r="W68" s="633" t="str">
        <f t="shared" si="37"/>
        <v/>
      </c>
      <c r="X68" s="632" t="str">
        <f t="shared" si="38"/>
        <v/>
      </c>
      <c r="Y68" s="634" t="str">
        <f t="shared" si="39"/>
        <v/>
      </c>
      <c r="Z68" s="635" t="str">
        <f t="shared" si="40"/>
        <v/>
      </c>
      <c r="AA68" s="633" t="str">
        <f t="shared" si="41"/>
        <v/>
      </c>
      <c r="AB68" s="632" t="str">
        <f t="shared" si="42"/>
        <v/>
      </c>
      <c r="AC68" s="634" t="str">
        <f t="shared" si="43"/>
        <v/>
      </c>
      <c r="AD68" s="635" t="str">
        <f t="shared" si="44"/>
        <v/>
      </c>
      <c r="AE68" s="633" t="str">
        <f t="shared" si="45"/>
        <v/>
      </c>
      <c r="AF68" s="632" t="str">
        <f t="shared" si="46"/>
        <v/>
      </c>
      <c r="AG68" s="634" t="str">
        <f t="shared" si="47"/>
        <v/>
      </c>
      <c r="AH68" s="635" t="str">
        <f t="shared" si="48"/>
        <v/>
      </c>
      <c r="AI68" s="633" t="str">
        <f t="shared" si="49"/>
        <v/>
      </c>
      <c r="AJ68" s="632" t="str">
        <f t="shared" si="50"/>
        <v/>
      </c>
      <c r="AK68" s="636" t="str">
        <f t="shared" si="51"/>
        <v/>
      </c>
      <c r="AL68" s="637" t="str">
        <f t="shared" si="52"/>
        <v/>
      </c>
      <c r="AM68" s="633" t="str">
        <f t="shared" si="53"/>
        <v/>
      </c>
      <c r="AN68" s="38"/>
    </row>
    <row r="69" spans="1:40" ht="13.2" x14ac:dyDescent="0.25">
      <c r="A69" s="26"/>
      <c r="B69" s="38"/>
      <c r="C69" s="261" t="s">
        <v>207</v>
      </c>
      <c r="D69" s="644" t="str">
        <f>IF('WK2 - Notional General Income'!C26="","",'WK2 - Notional General Income'!C26)</f>
        <v/>
      </c>
      <c r="E69" s="635" t="str">
        <f>IF('WK2 - Notional General Income'!L26="","",'WK2 - Notional General Income'!L26/'WK2 - Notional General Income'!D26)</f>
        <v/>
      </c>
      <c r="F69" s="635" t="str">
        <f>IF('WK3 - Notional GI Yr1 YIELD'!L23="","",'WK3 - Notional GI Yr1 YIELD'!L23/'WK3 - Notional GI Yr1 YIELD'!D23)</f>
        <v/>
      </c>
      <c r="G69" s="472"/>
      <c r="H69" s="472"/>
      <c r="I69" s="472"/>
      <c r="J69" s="472"/>
      <c r="K69" s="472"/>
      <c r="L69" s="472"/>
      <c r="M69" s="38"/>
      <c r="N69" s="632" t="str">
        <f t="shared" si="28"/>
        <v/>
      </c>
      <c r="O69" s="633" t="str">
        <f t="shared" si="29"/>
        <v/>
      </c>
      <c r="P69" s="632" t="str">
        <f t="shared" si="30"/>
        <v/>
      </c>
      <c r="Q69" s="634" t="str">
        <f t="shared" si="31"/>
        <v/>
      </c>
      <c r="R69" s="635" t="str">
        <f t="shared" si="32"/>
        <v/>
      </c>
      <c r="S69" s="633" t="str">
        <f t="shared" si="33"/>
        <v/>
      </c>
      <c r="T69" s="632" t="str">
        <f t="shared" si="34"/>
        <v/>
      </c>
      <c r="U69" s="634" t="str">
        <f t="shared" si="35"/>
        <v/>
      </c>
      <c r="V69" s="635" t="str">
        <f t="shared" si="36"/>
        <v/>
      </c>
      <c r="W69" s="633" t="str">
        <f t="shared" si="37"/>
        <v/>
      </c>
      <c r="X69" s="632" t="str">
        <f t="shared" si="38"/>
        <v/>
      </c>
      <c r="Y69" s="634" t="str">
        <f t="shared" si="39"/>
        <v/>
      </c>
      <c r="Z69" s="635" t="str">
        <f t="shared" si="40"/>
        <v/>
      </c>
      <c r="AA69" s="633" t="str">
        <f t="shared" si="41"/>
        <v/>
      </c>
      <c r="AB69" s="632" t="str">
        <f t="shared" si="42"/>
        <v/>
      </c>
      <c r="AC69" s="634" t="str">
        <f t="shared" si="43"/>
        <v/>
      </c>
      <c r="AD69" s="635" t="str">
        <f t="shared" si="44"/>
        <v/>
      </c>
      <c r="AE69" s="633" t="str">
        <f t="shared" si="45"/>
        <v/>
      </c>
      <c r="AF69" s="632" t="str">
        <f t="shared" si="46"/>
        <v/>
      </c>
      <c r="AG69" s="634" t="str">
        <f t="shared" si="47"/>
        <v/>
      </c>
      <c r="AH69" s="635" t="str">
        <f t="shared" si="48"/>
        <v/>
      </c>
      <c r="AI69" s="633" t="str">
        <f t="shared" si="49"/>
        <v/>
      </c>
      <c r="AJ69" s="632" t="str">
        <f t="shared" si="50"/>
        <v/>
      </c>
      <c r="AK69" s="636" t="str">
        <f t="shared" si="51"/>
        <v/>
      </c>
      <c r="AL69" s="637" t="str">
        <f t="shared" si="52"/>
        <v/>
      </c>
      <c r="AM69" s="633" t="str">
        <f t="shared" si="53"/>
        <v/>
      </c>
      <c r="AN69" s="38"/>
    </row>
    <row r="70" spans="1:40" ht="13.2" x14ac:dyDescent="0.25">
      <c r="A70" s="26"/>
      <c r="B70" s="38"/>
      <c r="C70" s="261" t="s">
        <v>207</v>
      </c>
      <c r="D70" s="644" t="str">
        <f>IF('WK2 - Notional General Income'!C27="","",'WK2 - Notional General Income'!C27)</f>
        <v/>
      </c>
      <c r="E70" s="635" t="str">
        <f>IF('WK2 - Notional General Income'!L27="","",'WK2 - Notional General Income'!L27/'WK2 - Notional General Income'!D27)</f>
        <v/>
      </c>
      <c r="F70" s="635" t="str">
        <f>IF('WK3 - Notional GI Yr1 YIELD'!L24="","",'WK3 - Notional GI Yr1 YIELD'!L24/'WK3 - Notional GI Yr1 YIELD'!D24)</f>
        <v/>
      </c>
      <c r="G70" s="472"/>
      <c r="H70" s="472"/>
      <c r="I70" s="472"/>
      <c r="J70" s="472"/>
      <c r="K70" s="472"/>
      <c r="L70" s="472"/>
      <c r="M70" s="38"/>
      <c r="N70" s="632" t="str">
        <f t="shared" si="28"/>
        <v/>
      </c>
      <c r="O70" s="633" t="str">
        <f t="shared" si="29"/>
        <v/>
      </c>
      <c r="P70" s="632" t="str">
        <f t="shared" si="30"/>
        <v/>
      </c>
      <c r="Q70" s="634" t="str">
        <f t="shared" si="31"/>
        <v/>
      </c>
      <c r="R70" s="635" t="str">
        <f t="shared" si="32"/>
        <v/>
      </c>
      <c r="S70" s="633" t="str">
        <f t="shared" si="33"/>
        <v/>
      </c>
      <c r="T70" s="632" t="str">
        <f t="shared" si="34"/>
        <v/>
      </c>
      <c r="U70" s="634" t="str">
        <f t="shared" si="35"/>
        <v/>
      </c>
      <c r="V70" s="635" t="str">
        <f t="shared" si="36"/>
        <v/>
      </c>
      <c r="W70" s="633" t="str">
        <f t="shared" si="37"/>
        <v/>
      </c>
      <c r="X70" s="632" t="str">
        <f t="shared" si="38"/>
        <v/>
      </c>
      <c r="Y70" s="634" t="str">
        <f t="shared" si="39"/>
        <v/>
      </c>
      <c r="Z70" s="635" t="str">
        <f t="shared" si="40"/>
        <v/>
      </c>
      <c r="AA70" s="633" t="str">
        <f t="shared" si="41"/>
        <v/>
      </c>
      <c r="AB70" s="632" t="str">
        <f t="shared" si="42"/>
        <v/>
      </c>
      <c r="AC70" s="634" t="str">
        <f t="shared" si="43"/>
        <v/>
      </c>
      <c r="AD70" s="635" t="str">
        <f t="shared" si="44"/>
        <v/>
      </c>
      <c r="AE70" s="633" t="str">
        <f t="shared" si="45"/>
        <v/>
      </c>
      <c r="AF70" s="632" t="str">
        <f t="shared" si="46"/>
        <v/>
      </c>
      <c r="AG70" s="634" t="str">
        <f t="shared" si="47"/>
        <v/>
      </c>
      <c r="AH70" s="635" t="str">
        <f t="shared" si="48"/>
        <v/>
      </c>
      <c r="AI70" s="633" t="str">
        <f t="shared" si="49"/>
        <v/>
      </c>
      <c r="AJ70" s="632" t="str">
        <f t="shared" si="50"/>
        <v/>
      </c>
      <c r="AK70" s="636" t="str">
        <f t="shared" si="51"/>
        <v/>
      </c>
      <c r="AL70" s="637" t="str">
        <f t="shared" si="52"/>
        <v/>
      </c>
      <c r="AM70" s="633" t="str">
        <f t="shared" si="53"/>
        <v/>
      </c>
      <c r="AN70" s="38"/>
    </row>
    <row r="71" spans="1:40" ht="13.2" x14ac:dyDescent="0.25">
      <c r="A71" s="26"/>
      <c r="B71" s="38"/>
      <c r="C71" s="261" t="s">
        <v>207</v>
      </c>
      <c r="D71" s="644" t="str">
        <f>IF('WK2 - Notional General Income'!C28="","",'WK2 - Notional General Income'!C28)</f>
        <v/>
      </c>
      <c r="E71" s="635" t="str">
        <f>IF('WK2 - Notional General Income'!L28="","",'WK2 - Notional General Income'!L28/'WK2 - Notional General Income'!D28)</f>
        <v/>
      </c>
      <c r="F71" s="635" t="str">
        <f>IF('WK3 - Notional GI Yr1 YIELD'!L25="","",'WK3 - Notional GI Yr1 YIELD'!L25/'WK3 - Notional GI Yr1 YIELD'!D25)</f>
        <v/>
      </c>
      <c r="G71" s="472"/>
      <c r="H71" s="472"/>
      <c r="I71" s="472"/>
      <c r="J71" s="472"/>
      <c r="K71" s="472"/>
      <c r="L71" s="472"/>
      <c r="M71" s="38"/>
      <c r="N71" s="632" t="str">
        <f t="shared" si="28"/>
        <v/>
      </c>
      <c r="O71" s="633" t="str">
        <f t="shared" si="29"/>
        <v/>
      </c>
      <c r="P71" s="632" t="str">
        <f t="shared" si="30"/>
        <v/>
      </c>
      <c r="Q71" s="634" t="str">
        <f t="shared" si="31"/>
        <v/>
      </c>
      <c r="R71" s="635" t="str">
        <f t="shared" si="32"/>
        <v/>
      </c>
      <c r="S71" s="633" t="str">
        <f t="shared" si="33"/>
        <v/>
      </c>
      <c r="T71" s="632" t="str">
        <f t="shared" si="34"/>
        <v/>
      </c>
      <c r="U71" s="634" t="str">
        <f t="shared" si="35"/>
        <v/>
      </c>
      <c r="V71" s="635" t="str">
        <f t="shared" si="36"/>
        <v/>
      </c>
      <c r="W71" s="633" t="str">
        <f t="shared" si="37"/>
        <v/>
      </c>
      <c r="X71" s="632" t="str">
        <f t="shared" si="38"/>
        <v/>
      </c>
      <c r="Y71" s="634" t="str">
        <f t="shared" si="39"/>
        <v/>
      </c>
      <c r="Z71" s="635" t="str">
        <f t="shared" si="40"/>
        <v/>
      </c>
      <c r="AA71" s="633" t="str">
        <f t="shared" si="41"/>
        <v/>
      </c>
      <c r="AB71" s="632" t="str">
        <f t="shared" si="42"/>
        <v/>
      </c>
      <c r="AC71" s="634" t="str">
        <f t="shared" si="43"/>
        <v/>
      </c>
      <c r="AD71" s="635" t="str">
        <f t="shared" si="44"/>
        <v/>
      </c>
      <c r="AE71" s="633" t="str">
        <f t="shared" si="45"/>
        <v/>
      </c>
      <c r="AF71" s="632" t="str">
        <f t="shared" si="46"/>
        <v/>
      </c>
      <c r="AG71" s="634" t="str">
        <f t="shared" si="47"/>
        <v/>
      </c>
      <c r="AH71" s="635" t="str">
        <f t="shared" si="48"/>
        <v/>
      </c>
      <c r="AI71" s="633" t="str">
        <f t="shared" si="49"/>
        <v/>
      </c>
      <c r="AJ71" s="632" t="str">
        <f t="shared" si="50"/>
        <v/>
      </c>
      <c r="AK71" s="636" t="str">
        <f t="shared" si="51"/>
        <v/>
      </c>
      <c r="AL71" s="637" t="str">
        <f t="shared" si="52"/>
        <v/>
      </c>
      <c r="AM71" s="633" t="str">
        <f t="shared" si="53"/>
        <v/>
      </c>
      <c r="AN71" s="38"/>
    </row>
    <row r="72" spans="1:40" ht="13.2" x14ac:dyDescent="0.25">
      <c r="A72" s="26"/>
      <c r="B72" s="38"/>
      <c r="C72" s="261" t="s">
        <v>207</v>
      </c>
      <c r="D72" s="644" t="str">
        <f>IF('WK2 - Notional General Income'!C29="","",'WK2 - Notional General Income'!C29)</f>
        <v/>
      </c>
      <c r="E72" s="635" t="str">
        <f>IF('WK2 - Notional General Income'!L29="","",'WK2 - Notional General Income'!L29/'WK2 - Notional General Income'!D29)</f>
        <v/>
      </c>
      <c r="F72" s="635" t="str">
        <f>IF('WK3 - Notional GI Yr1 YIELD'!L26="","",'WK3 - Notional GI Yr1 YIELD'!L26/'WK3 - Notional GI Yr1 YIELD'!D26)</f>
        <v/>
      </c>
      <c r="G72" s="472"/>
      <c r="H72" s="472"/>
      <c r="I72" s="472"/>
      <c r="J72" s="472"/>
      <c r="K72" s="472"/>
      <c r="L72" s="472"/>
      <c r="M72" s="38"/>
      <c r="N72" s="632" t="str">
        <f t="shared" si="28"/>
        <v/>
      </c>
      <c r="O72" s="633" t="str">
        <f t="shared" si="29"/>
        <v/>
      </c>
      <c r="P72" s="632" t="str">
        <f t="shared" si="30"/>
        <v/>
      </c>
      <c r="Q72" s="634" t="str">
        <f t="shared" si="31"/>
        <v/>
      </c>
      <c r="R72" s="635" t="str">
        <f t="shared" si="32"/>
        <v/>
      </c>
      <c r="S72" s="633" t="str">
        <f t="shared" si="33"/>
        <v/>
      </c>
      <c r="T72" s="632" t="str">
        <f t="shared" si="34"/>
        <v/>
      </c>
      <c r="U72" s="634" t="str">
        <f t="shared" si="35"/>
        <v/>
      </c>
      <c r="V72" s="635" t="str">
        <f t="shared" si="36"/>
        <v/>
      </c>
      <c r="W72" s="633" t="str">
        <f t="shared" si="37"/>
        <v/>
      </c>
      <c r="X72" s="632" t="str">
        <f t="shared" si="38"/>
        <v/>
      </c>
      <c r="Y72" s="634" t="str">
        <f t="shared" si="39"/>
        <v/>
      </c>
      <c r="Z72" s="635" t="str">
        <f t="shared" si="40"/>
        <v/>
      </c>
      <c r="AA72" s="633" t="str">
        <f t="shared" si="41"/>
        <v/>
      </c>
      <c r="AB72" s="632" t="str">
        <f t="shared" si="42"/>
        <v/>
      </c>
      <c r="AC72" s="634" t="str">
        <f t="shared" si="43"/>
        <v/>
      </c>
      <c r="AD72" s="635" t="str">
        <f t="shared" si="44"/>
        <v/>
      </c>
      <c r="AE72" s="633" t="str">
        <f t="shared" si="45"/>
        <v/>
      </c>
      <c r="AF72" s="632" t="str">
        <f t="shared" si="46"/>
        <v/>
      </c>
      <c r="AG72" s="634" t="str">
        <f t="shared" si="47"/>
        <v/>
      </c>
      <c r="AH72" s="635" t="str">
        <f t="shared" si="48"/>
        <v/>
      </c>
      <c r="AI72" s="633" t="str">
        <f t="shared" si="49"/>
        <v/>
      </c>
      <c r="AJ72" s="632" t="str">
        <f t="shared" si="50"/>
        <v/>
      </c>
      <c r="AK72" s="636" t="str">
        <f t="shared" si="51"/>
        <v/>
      </c>
      <c r="AL72" s="637" t="str">
        <f t="shared" si="52"/>
        <v/>
      </c>
      <c r="AM72" s="633" t="str">
        <f t="shared" si="53"/>
        <v/>
      </c>
      <c r="AN72" s="38"/>
    </row>
    <row r="73" spans="1:40" ht="13.2" x14ac:dyDescent="0.25">
      <c r="A73" s="26"/>
      <c r="B73" s="38"/>
      <c r="C73" s="261" t="s">
        <v>207</v>
      </c>
      <c r="D73" s="644" t="str">
        <f>IF('WK2 - Notional General Income'!C30="","",'WK2 - Notional General Income'!C30)</f>
        <v/>
      </c>
      <c r="E73" s="635" t="str">
        <f>IF('WK2 - Notional General Income'!L30="","",'WK2 - Notional General Income'!L30/'WK2 - Notional General Income'!D30)</f>
        <v/>
      </c>
      <c r="F73" s="635" t="str">
        <f>IF('WK3 - Notional GI Yr1 YIELD'!L27="","",'WK3 - Notional GI Yr1 YIELD'!L27/'WK3 - Notional GI Yr1 YIELD'!D27)</f>
        <v/>
      </c>
      <c r="G73" s="472"/>
      <c r="H73" s="472"/>
      <c r="I73" s="472"/>
      <c r="J73" s="472"/>
      <c r="K73" s="472"/>
      <c r="L73" s="472"/>
      <c r="M73" s="38"/>
      <c r="N73" s="632" t="str">
        <f t="shared" si="28"/>
        <v/>
      </c>
      <c r="O73" s="633" t="str">
        <f t="shared" si="29"/>
        <v/>
      </c>
      <c r="P73" s="632" t="str">
        <f t="shared" si="30"/>
        <v/>
      </c>
      <c r="Q73" s="634" t="str">
        <f t="shared" si="31"/>
        <v/>
      </c>
      <c r="R73" s="635" t="str">
        <f t="shared" si="32"/>
        <v/>
      </c>
      <c r="S73" s="633" t="str">
        <f t="shared" si="33"/>
        <v/>
      </c>
      <c r="T73" s="632" t="str">
        <f t="shared" si="34"/>
        <v/>
      </c>
      <c r="U73" s="634" t="str">
        <f t="shared" si="35"/>
        <v/>
      </c>
      <c r="V73" s="635" t="str">
        <f t="shared" si="36"/>
        <v/>
      </c>
      <c r="W73" s="633" t="str">
        <f t="shared" si="37"/>
        <v/>
      </c>
      <c r="X73" s="632" t="str">
        <f t="shared" si="38"/>
        <v/>
      </c>
      <c r="Y73" s="634" t="str">
        <f t="shared" si="39"/>
        <v/>
      </c>
      <c r="Z73" s="635" t="str">
        <f t="shared" si="40"/>
        <v/>
      </c>
      <c r="AA73" s="633" t="str">
        <f t="shared" si="41"/>
        <v/>
      </c>
      <c r="AB73" s="632" t="str">
        <f t="shared" si="42"/>
        <v/>
      </c>
      <c r="AC73" s="634" t="str">
        <f t="shared" si="43"/>
        <v/>
      </c>
      <c r="AD73" s="635" t="str">
        <f t="shared" si="44"/>
        <v/>
      </c>
      <c r="AE73" s="633" t="str">
        <f t="shared" si="45"/>
        <v/>
      </c>
      <c r="AF73" s="632" t="str">
        <f t="shared" si="46"/>
        <v/>
      </c>
      <c r="AG73" s="634" t="str">
        <f t="shared" si="47"/>
        <v/>
      </c>
      <c r="AH73" s="635" t="str">
        <f t="shared" si="48"/>
        <v/>
      </c>
      <c r="AI73" s="633" t="str">
        <f t="shared" si="49"/>
        <v/>
      </c>
      <c r="AJ73" s="632" t="str">
        <f t="shared" si="50"/>
        <v/>
      </c>
      <c r="AK73" s="636" t="str">
        <f t="shared" si="51"/>
        <v/>
      </c>
      <c r="AL73" s="637" t="str">
        <f t="shared" si="52"/>
        <v/>
      </c>
      <c r="AM73" s="633" t="str">
        <f t="shared" si="53"/>
        <v/>
      </c>
      <c r="AN73" s="38"/>
    </row>
    <row r="74" spans="1:40" ht="13.2" x14ac:dyDescent="0.25">
      <c r="A74" s="26"/>
      <c r="B74" s="38"/>
      <c r="C74" s="261" t="s">
        <v>207</v>
      </c>
      <c r="D74" s="644" t="str">
        <f>IF('WK2 - Notional General Income'!C31="","",'WK2 - Notional General Income'!C31)</f>
        <v/>
      </c>
      <c r="E74" s="635" t="str">
        <f>IF('WK2 - Notional General Income'!L31="","",'WK2 - Notional General Income'!L31/'WK2 - Notional General Income'!D31)</f>
        <v/>
      </c>
      <c r="F74" s="635" t="str">
        <f>IF('WK3 - Notional GI Yr1 YIELD'!L28="","",'WK3 - Notional GI Yr1 YIELD'!L28/'WK3 - Notional GI Yr1 YIELD'!D28)</f>
        <v/>
      </c>
      <c r="G74" s="472"/>
      <c r="H74" s="472"/>
      <c r="I74" s="472"/>
      <c r="J74" s="472"/>
      <c r="K74" s="472"/>
      <c r="L74" s="472"/>
      <c r="M74" s="38"/>
      <c r="N74" s="632" t="str">
        <f t="shared" si="28"/>
        <v/>
      </c>
      <c r="O74" s="633" t="str">
        <f t="shared" si="29"/>
        <v/>
      </c>
      <c r="P74" s="632" t="str">
        <f t="shared" si="30"/>
        <v/>
      </c>
      <c r="Q74" s="634" t="str">
        <f t="shared" si="31"/>
        <v/>
      </c>
      <c r="R74" s="635" t="str">
        <f t="shared" si="32"/>
        <v/>
      </c>
      <c r="S74" s="633" t="str">
        <f t="shared" si="33"/>
        <v/>
      </c>
      <c r="T74" s="632" t="str">
        <f t="shared" si="34"/>
        <v/>
      </c>
      <c r="U74" s="634" t="str">
        <f t="shared" si="35"/>
        <v/>
      </c>
      <c r="V74" s="635" t="str">
        <f t="shared" si="36"/>
        <v/>
      </c>
      <c r="W74" s="633" t="str">
        <f t="shared" si="37"/>
        <v/>
      </c>
      <c r="X74" s="632" t="str">
        <f t="shared" si="38"/>
        <v/>
      </c>
      <c r="Y74" s="634" t="str">
        <f t="shared" si="39"/>
        <v/>
      </c>
      <c r="Z74" s="635" t="str">
        <f t="shared" si="40"/>
        <v/>
      </c>
      <c r="AA74" s="633" t="str">
        <f t="shared" si="41"/>
        <v/>
      </c>
      <c r="AB74" s="632" t="str">
        <f t="shared" si="42"/>
        <v/>
      </c>
      <c r="AC74" s="634" t="str">
        <f t="shared" si="43"/>
        <v/>
      </c>
      <c r="AD74" s="635" t="str">
        <f t="shared" si="44"/>
        <v/>
      </c>
      <c r="AE74" s="633" t="str">
        <f t="shared" si="45"/>
        <v/>
      </c>
      <c r="AF74" s="632" t="str">
        <f t="shared" si="46"/>
        <v/>
      </c>
      <c r="AG74" s="634" t="str">
        <f t="shared" si="47"/>
        <v/>
      </c>
      <c r="AH74" s="635" t="str">
        <f t="shared" si="48"/>
        <v/>
      </c>
      <c r="AI74" s="633" t="str">
        <f t="shared" si="49"/>
        <v/>
      </c>
      <c r="AJ74" s="632" t="str">
        <f t="shared" si="50"/>
        <v/>
      </c>
      <c r="AK74" s="636" t="str">
        <f t="shared" si="51"/>
        <v/>
      </c>
      <c r="AL74" s="637" t="str">
        <f t="shared" si="52"/>
        <v/>
      </c>
      <c r="AM74" s="633" t="str">
        <f t="shared" si="53"/>
        <v/>
      </c>
      <c r="AN74" s="38"/>
    </row>
    <row r="75" spans="1:40" ht="13.2" x14ac:dyDescent="0.25">
      <c r="A75" s="26"/>
      <c r="B75" s="38"/>
      <c r="C75" s="261" t="s">
        <v>207</v>
      </c>
      <c r="D75" s="644" t="str">
        <f>IF('WK2 - Notional General Income'!C32="","",'WK2 - Notional General Income'!C32)</f>
        <v/>
      </c>
      <c r="E75" s="635" t="str">
        <f>IF('WK2 - Notional General Income'!L32="","",'WK2 - Notional General Income'!L32/'WK2 - Notional General Income'!D32)</f>
        <v/>
      </c>
      <c r="F75" s="635" t="str">
        <f>IF('WK3 - Notional GI Yr1 YIELD'!L29="","",'WK3 - Notional GI Yr1 YIELD'!L29/'WK3 - Notional GI Yr1 YIELD'!D29)</f>
        <v/>
      </c>
      <c r="G75" s="472"/>
      <c r="H75" s="472"/>
      <c r="I75" s="472"/>
      <c r="J75" s="472"/>
      <c r="K75" s="472"/>
      <c r="L75" s="472"/>
      <c r="M75" s="38"/>
      <c r="N75" s="632" t="str">
        <f t="shared" si="28"/>
        <v/>
      </c>
      <c r="O75" s="633" t="str">
        <f t="shared" si="29"/>
        <v/>
      </c>
      <c r="P75" s="632" t="str">
        <f t="shared" si="30"/>
        <v/>
      </c>
      <c r="Q75" s="634" t="str">
        <f t="shared" si="31"/>
        <v/>
      </c>
      <c r="R75" s="635" t="str">
        <f t="shared" si="32"/>
        <v/>
      </c>
      <c r="S75" s="633" t="str">
        <f t="shared" si="33"/>
        <v/>
      </c>
      <c r="T75" s="632" t="str">
        <f t="shared" si="34"/>
        <v/>
      </c>
      <c r="U75" s="634" t="str">
        <f t="shared" si="35"/>
        <v/>
      </c>
      <c r="V75" s="635" t="str">
        <f t="shared" si="36"/>
        <v/>
      </c>
      <c r="W75" s="633" t="str">
        <f t="shared" si="37"/>
        <v/>
      </c>
      <c r="X75" s="632" t="str">
        <f t="shared" si="38"/>
        <v/>
      </c>
      <c r="Y75" s="634" t="str">
        <f t="shared" si="39"/>
        <v/>
      </c>
      <c r="Z75" s="635" t="str">
        <f t="shared" si="40"/>
        <v/>
      </c>
      <c r="AA75" s="633" t="str">
        <f t="shared" si="41"/>
        <v/>
      </c>
      <c r="AB75" s="632" t="str">
        <f t="shared" si="42"/>
        <v/>
      </c>
      <c r="AC75" s="634" t="str">
        <f t="shared" si="43"/>
        <v/>
      </c>
      <c r="AD75" s="635" t="str">
        <f t="shared" si="44"/>
        <v/>
      </c>
      <c r="AE75" s="633" t="str">
        <f t="shared" si="45"/>
        <v/>
      </c>
      <c r="AF75" s="632" t="str">
        <f t="shared" si="46"/>
        <v/>
      </c>
      <c r="AG75" s="634" t="str">
        <f t="shared" si="47"/>
        <v/>
      </c>
      <c r="AH75" s="635" t="str">
        <f t="shared" si="48"/>
        <v/>
      </c>
      <c r="AI75" s="633" t="str">
        <f t="shared" si="49"/>
        <v/>
      </c>
      <c r="AJ75" s="632" t="str">
        <f t="shared" si="50"/>
        <v/>
      </c>
      <c r="AK75" s="636" t="str">
        <f t="shared" si="51"/>
        <v/>
      </c>
      <c r="AL75" s="637" t="str">
        <f t="shared" si="52"/>
        <v/>
      </c>
      <c r="AM75" s="633" t="str">
        <f t="shared" si="53"/>
        <v/>
      </c>
      <c r="AN75" s="38"/>
    </row>
    <row r="76" spans="1:40" ht="13.2" x14ac:dyDescent="0.25">
      <c r="A76" s="26"/>
      <c r="B76" s="38"/>
      <c r="C76" s="261" t="s">
        <v>207</v>
      </c>
      <c r="D76" s="644" t="str">
        <f>IF('WK2 - Notional General Income'!C33="","",'WK2 - Notional General Income'!C33)</f>
        <v/>
      </c>
      <c r="E76" s="635" t="str">
        <f>IF('WK2 - Notional General Income'!L33="","",'WK2 - Notional General Income'!L33/'WK2 - Notional General Income'!D33)</f>
        <v/>
      </c>
      <c r="F76" s="635" t="str">
        <f>IF('WK3 - Notional GI Yr1 YIELD'!L30="","",'WK3 - Notional GI Yr1 YIELD'!L30/'WK3 - Notional GI Yr1 YIELD'!D30)</f>
        <v/>
      </c>
      <c r="G76" s="472"/>
      <c r="H76" s="472"/>
      <c r="I76" s="472"/>
      <c r="J76" s="472"/>
      <c r="K76" s="472"/>
      <c r="L76" s="472"/>
      <c r="M76" s="38"/>
      <c r="N76" s="632" t="str">
        <f t="shared" si="28"/>
        <v/>
      </c>
      <c r="O76" s="633" t="str">
        <f t="shared" si="29"/>
        <v/>
      </c>
      <c r="P76" s="632" t="str">
        <f t="shared" si="30"/>
        <v/>
      </c>
      <c r="Q76" s="634" t="str">
        <f t="shared" si="31"/>
        <v/>
      </c>
      <c r="R76" s="635" t="str">
        <f t="shared" si="32"/>
        <v/>
      </c>
      <c r="S76" s="633" t="str">
        <f t="shared" si="33"/>
        <v/>
      </c>
      <c r="T76" s="632" t="str">
        <f t="shared" si="34"/>
        <v/>
      </c>
      <c r="U76" s="634" t="str">
        <f t="shared" si="35"/>
        <v/>
      </c>
      <c r="V76" s="635" t="str">
        <f t="shared" si="36"/>
        <v/>
      </c>
      <c r="W76" s="633" t="str">
        <f t="shared" si="37"/>
        <v/>
      </c>
      <c r="X76" s="632" t="str">
        <f t="shared" si="38"/>
        <v/>
      </c>
      <c r="Y76" s="634" t="str">
        <f t="shared" si="39"/>
        <v/>
      </c>
      <c r="Z76" s="635" t="str">
        <f t="shared" si="40"/>
        <v/>
      </c>
      <c r="AA76" s="633" t="str">
        <f t="shared" si="41"/>
        <v/>
      </c>
      <c r="AB76" s="632" t="str">
        <f t="shared" si="42"/>
        <v/>
      </c>
      <c r="AC76" s="634" t="str">
        <f t="shared" si="43"/>
        <v/>
      </c>
      <c r="AD76" s="635" t="str">
        <f t="shared" si="44"/>
        <v/>
      </c>
      <c r="AE76" s="633" t="str">
        <f t="shared" si="45"/>
        <v/>
      </c>
      <c r="AF76" s="632" t="str">
        <f t="shared" si="46"/>
        <v/>
      </c>
      <c r="AG76" s="634" t="str">
        <f t="shared" si="47"/>
        <v/>
      </c>
      <c r="AH76" s="635" t="str">
        <f t="shared" si="48"/>
        <v/>
      </c>
      <c r="AI76" s="633" t="str">
        <f t="shared" si="49"/>
        <v/>
      </c>
      <c r="AJ76" s="632" t="str">
        <f t="shared" si="50"/>
        <v/>
      </c>
      <c r="AK76" s="636" t="str">
        <f t="shared" si="51"/>
        <v/>
      </c>
      <c r="AL76" s="637" t="str">
        <f t="shared" si="52"/>
        <v/>
      </c>
      <c r="AM76" s="633" t="str">
        <f t="shared" si="53"/>
        <v/>
      </c>
      <c r="AN76" s="38"/>
    </row>
    <row r="77" spans="1:40" ht="13.2" x14ac:dyDescent="0.25">
      <c r="A77" s="26"/>
      <c r="B77" s="38"/>
      <c r="C77" s="261" t="s">
        <v>207</v>
      </c>
      <c r="D77" s="644" t="str">
        <f>IF('WK2 - Notional General Income'!C34="","",'WK2 - Notional General Income'!C34)</f>
        <v/>
      </c>
      <c r="E77" s="635" t="str">
        <f>IF('WK2 - Notional General Income'!L34="","",'WK2 - Notional General Income'!L34/'WK2 - Notional General Income'!D34)</f>
        <v/>
      </c>
      <c r="F77" s="635" t="str">
        <f>IF('WK3 - Notional GI Yr1 YIELD'!L31="","",'WK3 - Notional GI Yr1 YIELD'!L31/'WK3 - Notional GI Yr1 YIELD'!D31)</f>
        <v/>
      </c>
      <c r="G77" s="472"/>
      <c r="H77" s="472"/>
      <c r="I77" s="472"/>
      <c r="J77" s="472"/>
      <c r="K77" s="472"/>
      <c r="L77" s="472"/>
      <c r="M77" s="38"/>
      <c r="N77" s="632" t="str">
        <f t="shared" si="28"/>
        <v/>
      </c>
      <c r="O77" s="633" t="str">
        <f t="shared" si="29"/>
        <v/>
      </c>
      <c r="P77" s="632" t="str">
        <f t="shared" si="30"/>
        <v/>
      </c>
      <c r="Q77" s="634" t="str">
        <f t="shared" si="31"/>
        <v/>
      </c>
      <c r="R77" s="635" t="str">
        <f t="shared" si="32"/>
        <v/>
      </c>
      <c r="S77" s="633" t="str">
        <f t="shared" si="33"/>
        <v/>
      </c>
      <c r="T77" s="632" t="str">
        <f t="shared" si="34"/>
        <v/>
      </c>
      <c r="U77" s="634" t="str">
        <f t="shared" si="35"/>
        <v/>
      </c>
      <c r="V77" s="635" t="str">
        <f t="shared" si="36"/>
        <v/>
      </c>
      <c r="W77" s="633" t="str">
        <f t="shared" si="37"/>
        <v/>
      </c>
      <c r="X77" s="632" t="str">
        <f t="shared" si="38"/>
        <v/>
      </c>
      <c r="Y77" s="634" t="str">
        <f t="shared" si="39"/>
        <v/>
      </c>
      <c r="Z77" s="635" t="str">
        <f t="shared" si="40"/>
        <v/>
      </c>
      <c r="AA77" s="633" t="str">
        <f t="shared" si="41"/>
        <v/>
      </c>
      <c r="AB77" s="632" t="str">
        <f t="shared" si="42"/>
        <v/>
      </c>
      <c r="AC77" s="634" t="str">
        <f t="shared" si="43"/>
        <v/>
      </c>
      <c r="AD77" s="635" t="str">
        <f t="shared" si="44"/>
        <v/>
      </c>
      <c r="AE77" s="633" t="str">
        <f t="shared" si="45"/>
        <v/>
      </c>
      <c r="AF77" s="632" t="str">
        <f t="shared" si="46"/>
        <v/>
      </c>
      <c r="AG77" s="634" t="str">
        <f t="shared" si="47"/>
        <v/>
      </c>
      <c r="AH77" s="635" t="str">
        <f t="shared" si="48"/>
        <v/>
      </c>
      <c r="AI77" s="633" t="str">
        <f t="shared" si="49"/>
        <v/>
      </c>
      <c r="AJ77" s="632" t="str">
        <f t="shared" si="50"/>
        <v/>
      </c>
      <c r="AK77" s="636" t="str">
        <f t="shared" si="51"/>
        <v/>
      </c>
      <c r="AL77" s="637" t="str">
        <f t="shared" si="52"/>
        <v/>
      </c>
      <c r="AM77" s="633" t="str">
        <f t="shared" si="53"/>
        <v/>
      </c>
      <c r="AN77" s="38"/>
    </row>
    <row r="78" spans="1:40" ht="13.2" x14ac:dyDescent="0.25">
      <c r="A78" s="26"/>
      <c r="B78" s="38"/>
      <c r="C78" s="261" t="s">
        <v>207</v>
      </c>
      <c r="D78" s="644" t="str">
        <f>IF('WK2 - Notional General Income'!C35="","",'WK2 - Notional General Income'!C35)</f>
        <v/>
      </c>
      <c r="E78" s="635" t="str">
        <f>IF('WK2 - Notional General Income'!L35="","",'WK2 - Notional General Income'!L35/'WK2 - Notional General Income'!D35)</f>
        <v/>
      </c>
      <c r="F78" s="635" t="str">
        <f>IF('WK3 - Notional GI Yr1 YIELD'!L32="","",'WK3 - Notional GI Yr1 YIELD'!L32/'WK3 - Notional GI Yr1 YIELD'!D32)</f>
        <v/>
      </c>
      <c r="G78" s="472"/>
      <c r="H78" s="472"/>
      <c r="I78" s="472"/>
      <c r="J78" s="472"/>
      <c r="K78" s="472"/>
      <c r="L78" s="472"/>
      <c r="M78" s="38"/>
      <c r="N78" s="632" t="str">
        <f t="shared" si="28"/>
        <v/>
      </c>
      <c r="O78" s="633" t="str">
        <f t="shared" si="29"/>
        <v/>
      </c>
      <c r="P78" s="632" t="str">
        <f t="shared" si="30"/>
        <v/>
      </c>
      <c r="Q78" s="634" t="str">
        <f t="shared" si="31"/>
        <v/>
      </c>
      <c r="R78" s="635" t="str">
        <f t="shared" si="32"/>
        <v/>
      </c>
      <c r="S78" s="633" t="str">
        <f t="shared" si="33"/>
        <v/>
      </c>
      <c r="T78" s="632" t="str">
        <f t="shared" si="34"/>
        <v/>
      </c>
      <c r="U78" s="634" t="str">
        <f t="shared" si="35"/>
        <v/>
      </c>
      <c r="V78" s="635" t="str">
        <f t="shared" si="36"/>
        <v/>
      </c>
      <c r="W78" s="633" t="str">
        <f t="shared" si="37"/>
        <v/>
      </c>
      <c r="X78" s="632" t="str">
        <f t="shared" si="38"/>
        <v/>
      </c>
      <c r="Y78" s="634" t="str">
        <f t="shared" si="39"/>
        <v/>
      </c>
      <c r="Z78" s="635" t="str">
        <f t="shared" si="40"/>
        <v/>
      </c>
      <c r="AA78" s="633" t="str">
        <f t="shared" si="41"/>
        <v/>
      </c>
      <c r="AB78" s="632" t="str">
        <f t="shared" si="42"/>
        <v/>
      </c>
      <c r="AC78" s="634" t="str">
        <f t="shared" si="43"/>
        <v/>
      </c>
      <c r="AD78" s="635" t="str">
        <f t="shared" si="44"/>
        <v/>
      </c>
      <c r="AE78" s="633" t="str">
        <f t="shared" si="45"/>
        <v/>
      </c>
      <c r="AF78" s="632" t="str">
        <f t="shared" si="46"/>
        <v/>
      </c>
      <c r="AG78" s="634" t="str">
        <f t="shared" si="47"/>
        <v/>
      </c>
      <c r="AH78" s="635" t="str">
        <f t="shared" si="48"/>
        <v/>
      </c>
      <c r="AI78" s="633" t="str">
        <f t="shared" si="49"/>
        <v/>
      </c>
      <c r="AJ78" s="632" t="str">
        <f t="shared" si="50"/>
        <v/>
      </c>
      <c r="AK78" s="636" t="str">
        <f t="shared" si="51"/>
        <v/>
      </c>
      <c r="AL78" s="637" t="str">
        <f t="shared" si="52"/>
        <v/>
      </c>
      <c r="AM78" s="633" t="str">
        <f t="shared" si="53"/>
        <v/>
      </c>
      <c r="AN78" s="38"/>
    </row>
    <row r="79" spans="1:40" ht="13.2" x14ac:dyDescent="0.25">
      <c r="A79" s="26"/>
      <c r="B79" s="38"/>
      <c r="C79" s="261" t="s">
        <v>207</v>
      </c>
      <c r="D79" s="644" t="str">
        <f>IF('WK2 - Notional General Income'!C36="","",'WK2 - Notional General Income'!C36)</f>
        <v/>
      </c>
      <c r="E79" s="635" t="str">
        <f>IF('WK2 - Notional General Income'!L36="","",'WK2 - Notional General Income'!L36/'WK2 - Notional General Income'!D36)</f>
        <v/>
      </c>
      <c r="F79" s="635" t="str">
        <f>IF('WK3 - Notional GI Yr1 YIELD'!L33="","",'WK3 - Notional GI Yr1 YIELD'!L33/'WK3 - Notional GI Yr1 YIELD'!D33)</f>
        <v/>
      </c>
      <c r="G79" s="472"/>
      <c r="H79" s="472"/>
      <c r="I79" s="472"/>
      <c r="J79" s="472"/>
      <c r="K79" s="472"/>
      <c r="L79" s="472"/>
      <c r="M79" s="38"/>
      <c r="N79" s="632" t="str">
        <f t="shared" si="28"/>
        <v/>
      </c>
      <c r="O79" s="633" t="str">
        <f t="shared" si="29"/>
        <v/>
      </c>
      <c r="P79" s="632" t="str">
        <f t="shared" si="30"/>
        <v/>
      </c>
      <c r="Q79" s="634" t="str">
        <f t="shared" si="31"/>
        <v/>
      </c>
      <c r="R79" s="635" t="str">
        <f t="shared" si="32"/>
        <v/>
      </c>
      <c r="S79" s="633" t="str">
        <f t="shared" si="33"/>
        <v/>
      </c>
      <c r="T79" s="632" t="str">
        <f t="shared" si="34"/>
        <v/>
      </c>
      <c r="U79" s="634" t="str">
        <f t="shared" si="35"/>
        <v/>
      </c>
      <c r="V79" s="635" t="str">
        <f t="shared" si="36"/>
        <v/>
      </c>
      <c r="W79" s="633" t="str">
        <f t="shared" si="37"/>
        <v/>
      </c>
      <c r="X79" s="632" t="str">
        <f t="shared" si="38"/>
        <v/>
      </c>
      <c r="Y79" s="634" t="str">
        <f t="shared" si="39"/>
        <v/>
      </c>
      <c r="Z79" s="635" t="str">
        <f t="shared" si="40"/>
        <v/>
      </c>
      <c r="AA79" s="633" t="str">
        <f t="shared" si="41"/>
        <v/>
      </c>
      <c r="AB79" s="632" t="str">
        <f t="shared" si="42"/>
        <v/>
      </c>
      <c r="AC79" s="634" t="str">
        <f t="shared" si="43"/>
        <v/>
      </c>
      <c r="AD79" s="635" t="str">
        <f t="shared" si="44"/>
        <v/>
      </c>
      <c r="AE79" s="633" t="str">
        <f t="shared" si="45"/>
        <v/>
      </c>
      <c r="AF79" s="632" t="str">
        <f t="shared" si="46"/>
        <v/>
      </c>
      <c r="AG79" s="634" t="str">
        <f t="shared" si="47"/>
        <v/>
      </c>
      <c r="AH79" s="635" t="str">
        <f t="shared" si="48"/>
        <v/>
      </c>
      <c r="AI79" s="633" t="str">
        <f t="shared" si="49"/>
        <v/>
      </c>
      <c r="AJ79" s="632" t="str">
        <f t="shared" si="50"/>
        <v/>
      </c>
      <c r="AK79" s="636" t="str">
        <f t="shared" si="51"/>
        <v/>
      </c>
      <c r="AL79" s="637" t="str">
        <f t="shared" si="52"/>
        <v/>
      </c>
      <c r="AM79" s="633" t="str">
        <f t="shared" si="53"/>
        <v/>
      </c>
      <c r="AN79" s="38"/>
    </row>
    <row r="80" spans="1:40" ht="13.2" x14ac:dyDescent="0.25">
      <c r="A80" s="26"/>
      <c r="B80" s="38"/>
      <c r="C80" s="261" t="s">
        <v>441</v>
      </c>
      <c r="D80" s="644" t="str">
        <f>IF('WK2 - Notional General Income'!C95="","",'WK2 - Notional General Income'!C95)</f>
        <v/>
      </c>
      <c r="E80" s="635" t="str">
        <f>IF('WK2 - Notional General Income'!L95="","",'WK2 - Notional General Income'!L95/'WK2 - Notional General Income'!D95)</f>
        <v/>
      </c>
      <c r="F80" s="635" t="str">
        <f>IF('WK3 - Notional GI Yr1 YIELD'!L92="","",'WK3 - Notional GI Yr1 YIELD'!L92/'WK3 - Notional GI Yr1 YIELD'!D92)</f>
        <v/>
      </c>
      <c r="G80" s="472"/>
      <c r="H80" s="472"/>
      <c r="I80" s="472"/>
      <c r="J80" s="472"/>
      <c r="K80" s="472"/>
      <c r="L80" s="472"/>
      <c r="M80" s="38"/>
      <c r="N80" s="632" t="str">
        <f t="shared" si="28"/>
        <v/>
      </c>
      <c r="O80" s="633" t="str">
        <f t="shared" si="29"/>
        <v/>
      </c>
      <c r="P80" s="632" t="str">
        <f t="shared" si="30"/>
        <v/>
      </c>
      <c r="Q80" s="634" t="str">
        <f t="shared" si="31"/>
        <v/>
      </c>
      <c r="R80" s="635" t="str">
        <f t="shared" si="32"/>
        <v/>
      </c>
      <c r="S80" s="633" t="str">
        <f t="shared" si="33"/>
        <v/>
      </c>
      <c r="T80" s="632" t="str">
        <f t="shared" si="34"/>
        <v/>
      </c>
      <c r="U80" s="634" t="str">
        <f t="shared" si="35"/>
        <v/>
      </c>
      <c r="V80" s="635" t="str">
        <f t="shared" si="36"/>
        <v/>
      </c>
      <c r="W80" s="633" t="str">
        <f t="shared" si="37"/>
        <v/>
      </c>
      <c r="X80" s="632" t="str">
        <f t="shared" si="38"/>
        <v/>
      </c>
      <c r="Y80" s="634" t="str">
        <f t="shared" si="39"/>
        <v/>
      </c>
      <c r="Z80" s="635" t="str">
        <f t="shared" si="40"/>
        <v/>
      </c>
      <c r="AA80" s="633" t="str">
        <f t="shared" si="41"/>
        <v/>
      </c>
      <c r="AB80" s="632" t="str">
        <f t="shared" si="42"/>
        <v/>
      </c>
      <c r="AC80" s="634" t="str">
        <f t="shared" si="43"/>
        <v/>
      </c>
      <c r="AD80" s="635" t="str">
        <f t="shared" si="44"/>
        <v/>
      </c>
      <c r="AE80" s="633" t="str">
        <f t="shared" si="45"/>
        <v/>
      </c>
      <c r="AF80" s="632" t="str">
        <f t="shared" si="46"/>
        <v/>
      </c>
      <c r="AG80" s="634" t="str">
        <f t="shared" si="47"/>
        <v/>
      </c>
      <c r="AH80" s="635" t="str">
        <f t="shared" si="48"/>
        <v/>
      </c>
      <c r="AI80" s="633" t="str">
        <f t="shared" si="49"/>
        <v/>
      </c>
      <c r="AJ80" s="632" t="str">
        <f t="shared" si="50"/>
        <v/>
      </c>
      <c r="AK80" s="636" t="str">
        <f t="shared" si="51"/>
        <v/>
      </c>
      <c r="AL80" s="637" t="str">
        <f t="shared" si="52"/>
        <v/>
      </c>
      <c r="AM80" s="633" t="str">
        <f t="shared" si="53"/>
        <v/>
      </c>
      <c r="AN80" s="38"/>
    </row>
    <row r="81" spans="1:40" ht="13.2" x14ac:dyDescent="0.25">
      <c r="A81" s="26"/>
      <c r="B81" s="38"/>
      <c r="C81" s="261" t="s">
        <v>441</v>
      </c>
      <c r="D81" s="644" t="str">
        <f>IF('WK2 - Notional General Income'!C96="","",'WK2 - Notional General Income'!C96)</f>
        <v/>
      </c>
      <c r="E81" s="635" t="str">
        <f>IF('WK2 - Notional General Income'!L96="","",'WK2 - Notional General Income'!L96/'WK2 - Notional General Income'!D96)</f>
        <v/>
      </c>
      <c r="F81" s="635" t="str">
        <f>IF('WK3 - Notional GI Yr1 YIELD'!L93="","",'WK3 - Notional GI Yr1 YIELD'!L93/'WK3 - Notional GI Yr1 YIELD'!D93)</f>
        <v/>
      </c>
      <c r="G81" s="472"/>
      <c r="H81" s="472"/>
      <c r="I81" s="472"/>
      <c r="J81" s="472"/>
      <c r="K81" s="472"/>
      <c r="L81" s="472"/>
      <c r="M81" s="38"/>
      <c r="N81" s="632" t="str">
        <f t="shared" si="28"/>
        <v/>
      </c>
      <c r="O81" s="633" t="str">
        <f t="shared" si="29"/>
        <v/>
      </c>
      <c r="P81" s="632" t="str">
        <f t="shared" si="30"/>
        <v/>
      </c>
      <c r="Q81" s="634" t="str">
        <f t="shared" si="31"/>
        <v/>
      </c>
      <c r="R81" s="635" t="str">
        <f t="shared" si="32"/>
        <v/>
      </c>
      <c r="S81" s="633" t="str">
        <f t="shared" si="33"/>
        <v/>
      </c>
      <c r="T81" s="632" t="str">
        <f t="shared" si="34"/>
        <v/>
      </c>
      <c r="U81" s="634" t="str">
        <f t="shared" si="35"/>
        <v/>
      </c>
      <c r="V81" s="635" t="str">
        <f t="shared" si="36"/>
        <v/>
      </c>
      <c r="W81" s="633" t="str">
        <f t="shared" si="37"/>
        <v/>
      </c>
      <c r="X81" s="632" t="str">
        <f t="shared" si="38"/>
        <v/>
      </c>
      <c r="Y81" s="634" t="str">
        <f t="shared" si="39"/>
        <v/>
      </c>
      <c r="Z81" s="635" t="str">
        <f t="shared" si="40"/>
        <v/>
      </c>
      <c r="AA81" s="633" t="str">
        <f t="shared" si="41"/>
        <v/>
      </c>
      <c r="AB81" s="632" t="str">
        <f t="shared" si="42"/>
        <v/>
      </c>
      <c r="AC81" s="634" t="str">
        <f t="shared" si="43"/>
        <v/>
      </c>
      <c r="AD81" s="635" t="str">
        <f t="shared" si="44"/>
        <v/>
      </c>
      <c r="AE81" s="633" t="str">
        <f t="shared" si="45"/>
        <v/>
      </c>
      <c r="AF81" s="632" t="str">
        <f t="shared" si="46"/>
        <v/>
      </c>
      <c r="AG81" s="634" t="str">
        <f t="shared" si="47"/>
        <v/>
      </c>
      <c r="AH81" s="635" t="str">
        <f t="shared" si="48"/>
        <v/>
      </c>
      <c r="AI81" s="633" t="str">
        <f t="shared" si="49"/>
        <v/>
      </c>
      <c r="AJ81" s="632" t="str">
        <f t="shared" si="50"/>
        <v/>
      </c>
      <c r="AK81" s="636" t="str">
        <f t="shared" si="51"/>
        <v/>
      </c>
      <c r="AL81" s="637" t="str">
        <f t="shared" si="52"/>
        <v/>
      </c>
      <c r="AM81" s="633" t="str">
        <f t="shared" si="53"/>
        <v/>
      </c>
      <c r="AN81" s="38"/>
    </row>
    <row r="82" spans="1:40" ht="13.2" x14ac:dyDescent="0.25">
      <c r="A82" s="26"/>
      <c r="B82" s="38"/>
      <c r="C82" s="261" t="s">
        <v>441</v>
      </c>
      <c r="D82" s="644" t="str">
        <f>IF('WK2 - Notional General Income'!C97="","",'WK2 - Notional General Income'!C97)</f>
        <v/>
      </c>
      <c r="E82" s="635" t="str">
        <f>IF('WK2 - Notional General Income'!L97="","",'WK2 - Notional General Income'!L97/'WK2 - Notional General Income'!D97)</f>
        <v/>
      </c>
      <c r="F82" s="635" t="str">
        <f>IF('WK3 - Notional GI Yr1 YIELD'!L94="","",'WK3 - Notional GI Yr1 YIELD'!L94/'WK3 - Notional GI Yr1 YIELD'!D94)</f>
        <v/>
      </c>
      <c r="G82" s="472"/>
      <c r="H82" s="472"/>
      <c r="I82" s="472"/>
      <c r="J82" s="472"/>
      <c r="K82" s="472"/>
      <c r="L82" s="472"/>
      <c r="M82" s="38"/>
      <c r="N82" s="632" t="str">
        <f t="shared" si="28"/>
        <v/>
      </c>
      <c r="O82" s="633" t="str">
        <f t="shared" si="29"/>
        <v/>
      </c>
      <c r="P82" s="632" t="str">
        <f t="shared" si="30"/>
        <v/>
      </c>
      <c r="Q82" s="634" t="str">
        <f t="shared" si="31"/>
        <v/>
      </c>
      <c r="R82" s="635" t="str">
        <f t="shared" si="32"/>
        <v/>
      </c>
      <c r="S82" s="633" t="str">
        <f t="shared" si="33"/>
        <v/>
      </c>
      <c r="T82" s="632" t="str">
        <f t="shared" si="34"/>
        <v/>
      </c>
      <c r="U82" s="634" t="str">
        <f t="shared" si="35"/>
        <v/>
      </c>
      <c r="V82" s="635" t="str">
        <f t="shared" si="36"/>
        <v/>
      </c>
      <c r="W82" s="633" t="str">
        <f t="shared" si="37"/>
        <v/>
      </c>
      <c r="X82" s="632" t="str">
        <f t="shared" si="38"/>
        <v/>
      </c>
      <c r="Y82" s="634" t="str">
        <f t="shared" si="39"/>
        <v/>
      </c>
      <c r="Z82" s="635" t="str">
        <f t="shared" si="40"/>
        <v/>
      </c>
      <c r="AA82" s="633" t="str">
        <f t="shared" si="41"/>
        <v/>
      </c>
      <c r="AB82" s="632" t="str">
        <f t="shared" si="42"/>
        <v/>
      </c>
      <c r="AC82" s="634" t="str">
        <f t="shared" si="43"/>
        <v/>
      </c>
      <c r="AD82" s="635" t="str">
        <f t="shared" si="44"/>
        <v/>
      </c>
      <c r="AE82" s="633" t="str">
        <f t="shared" si="45"/>
        <v/>
      </c>
      <c r="AF82" s="632" t="str">
        <f t="shared" si="46"/>
        <v/>
      </c>
      <c r="AG82" s="634" t="str">
        <f t="shared" si="47"/>
        <v/>
      </c>
      <c r="AH82" s="635" t="str">
        <f t="shared" si="48"/>
        <v/>
      </c>
      <c r="AI82" s="633" t="str">
        <f t="shared" si="49"/>
        <v/>
      </c>
      <c r="AJ82" s="632" t="str">
        <f t="shared" si="50"/>
        <v/>
      </c>
      <c r="AK82" s="636" t="str">
        <f t="shared" si="51"/>
        <v/>
      </c>
      <c r="AL82" s="637" t="str">
        <f t="shared" si="52"/>
        <v/>
      </c>
      <c r="AM82" s="633" t="str">
        <f t="shared" si="53"/>
        <v/>
      </c>
      <c r="AN82" s="38"/>
    </row>
    <row r="83" spans="1:40" ht="13.2" x14ac:dyDescent="0.25">
      <c r="A83" s="26"/>
      <c r="B83" s="38"/>
      <c r="C83" s="261" t="s">
        <v>441</v>
      </c>
      <c r="D83" s="644" t="str">
        <f>IF('WK2 - Notional General Income'!C98="","",'WK2 - Notional General Income'!C98)</f>
        <v/>
      </c>
      <c r="E83" s="635" t="str">
        <f>IF('WK2 - Notional General Income'!L98="","",'WK2 - Notional General Income'!L98/'WK2 - Notional General Income'!D98)</f>
        <v/>
      </c>
      <c r="F83" s="635" t="str">
        <f>IF('WK3 - Notional GI Yr1 YIELD'!L95="","",'WK3 - Notional GI Yr1 YIELD'!L95/'WK3 - Notional GI Yr1 YIELD'!D95)</f>
        <v/>
      </c>
      <c r="G83" s="472"/>
      <c r="H83" s="472"/>
      <c r="I83" s="472"/>
      <c r="J83" s="472"/>
      <c r="K83" s="472"/>
      <c r="L83" s="472"/>
      <c r="M83" s="38"/>
      <c r="N83" s="632" t="str">
        <f t="shared" si="28"/>
        <v/>
      </c>
      <c r="O83" s="633" t="str">
        <f t="shared" si="29"/>
        <v/>
      </c>
      <c r="P83" s="632" t="str">
        <f t="shared" si="30"/>
        <v/>
      </c>
      <c r="Q83" s="634" t="str">
        <f t="shared" si="31"/>
        <v/>
      </c>
      <c r="R83" s="635" t="str">
        <f t="shared" si="32"/>
        <v/>
      </c>
      <c r="S83" s="633" t="str">
        <f t="shared" si="33"/>
        <v/>
      </c>
      <c r="T83" s="632" t="str">
        <f t="shared" si="34"/>
        <v/>
      </c>
      <c r="U83" s="634" t="str">
        <f t="shared" si="35"/>
        <v/>
      </c>
      <c r="V83" s="635" t="str">
        <f t="shared" si="36"/>
        <v/>
      </c>
      <c r="W83" s="633" t="str">
        <f t="shared" si="37"/>
        <v/>
      </c>
      <c r="X83" s="632" t="str">
        <f t="shared" si="38"/>
        <v/>
      </c>
      <c r="Y83" s="634" t="str">
        <f t="shared" si="39"/>
        <v/>
      </c>
      <c r="Z83" s="635" t="str">
        <f t="shared" si="40"/>
        <v/>
      </c>
      <c r="AA83" s="633" t="str">
        <f t="shared" si="41"/>
        <v/>
      </c>
      <c r="AB83" s="632" t="str">
        <f t="shared" si="42"/>
        <v/>
      </c>
      <c r="AC83" s="634" t="str">
        <f t="shared" si="43"/>
        <v/>
      </c>
      <c r="AD83" s="635" t="str">
        <f t="shared" si="44"/>
        <v/>
      </c>
      <c r="AE83" s="633" t="str">
        <f t="shared" si="45"/>
        <v/>
      </c>
      <c r="AF83" s="632" t="str">
        <f t="shared" si="46"/>
        <v/>
      </c>
      <c r="AG83" s="634" t="str">
        <f t="shared" si="47"/>
        <v/>
      </c>
      <c r="AH83" s="635" t="str">
        <f t="shared" si="48"/>
        <v/>
      </c>
      <c r="AI83" s="633" t="str">
        <f t="shared" si="49"/>
        <v/>
      </c>
      <c r="AJ83" s="632" t="str">
        <f t="shared" si="50"/>
        <v/>
      </c>
      <c r="AK83" s="636" t="str">
        <f t="shared" si="51"/>
        <v/>
      </c>
      <c r="AL83" s="637" t="str">
        <f t="shared" si="52"/>
        <v/>
      </c>
      <c r="AM83" s="633" t="str">
        <f t="shared" si="53"/>
        <v/>
      </c>
      <c r="AN83" s="38"/>
    </row>
    <row r="84" spans="1:40" ht="13.2" x14ac:dyDescent="0.25">
      <c r="A84" s="26"/>
      <c r="B84" s="38"/>
      <c r="C84" s="261" t="s">
        <v>441</v>
      </c>
      <c r="D84" s="644" t="str">
        <f>IF('WK2 - Notional General Income'!C99="","",'WK2 - Notional General Income'!C99)</f>
        <v/>
      </c>
      <c r="E84" s="635" t="str">
        <f>IF('WK2 - Notional General Income'!L99="","",'WK2 - Notional General Income'!L99/'WK2 - Notional General Income'!D99)</f>
        <v/>
      </c>
      <c r="F84" s="635" t="str">
        <f>IF('WK3 - Notional GI Yr1 YIELD'!L96="","",'WK3 - Notional GI Yr1 YIELD'!L96/'WK3 - Notional GI Yr1 YIELD'!D96)</f>
        <v/>
      </c>
      <c r="G84" s="472"/>
      <c r="H84" s="472"/>
      <c r="I84" s="472"/>
      <c r="J84" s="472"/>
      <c r="K84" s="472"/>
      <c r="L84" s="472"/>
      <c r="M84" s="38"/>
      <c r="N84" s="632" t="str">
        <f t="shared" si="28"/>
        <v/>
      </c>
      <c r="O84" s="633" t="str">
        <f t="shared" si="29"/>
        <v/>
      </c>
      <c r="P84" s="632" t="str">
        <f t="shared" si="30"/>
        <v/>
      </c>
      <c r="Q84" s="634" t="str">
        <f t="shared" si="31"/>
        <v/>
      </c>
      <c r="R84" s="635" t="str">
        <f t="shared" si="32"/>
        <v/>
      </c>
      <c r="S84" s="633" t="str">
        <f t="shared" si="33"/>
        <v/>
      </c>
      <c r="T84" s="632" t="str">
        <f t="shared" si="34"/>
        <v/>
      </c>
      <c r="U84" s="634" t="str">
        <f t="shared" si="35"/>
        <v/>
      </c>
      <c r="V84" s="635" t="str">
        <f t="shared" si="36"/>
        <v/>
      </c>
      <c r="W84" s="633" t="str">
        <f t="shared" si="37"/>
        <v/>
      </c>
      <c r="X84" s="632" t="str">
        <f t="shared" si="38"/>
        <v/>
      </c>
      <c r="Y84" s="634" t="str">
        <f t="shared" si="39"/>
        <v/>
      </c>
      <c r="Z84" s="635" t="str">
        <f t="shared" si="40"/>
        <v/>
      </c>
      <c r="AA84" s="633" t="str">
        <f t="shared" si="41"/>
        <v/>
      </c>
      <c r="AB84" s="632" t="str">
        <f t="shared" si="42"/>
        <v/>
      </c>
      <c r="AC84" s="634" t="str">
        <f t="shared" si="43"/>
        <v/>
      </c>
      <c r="AD84" s="635" t="str">
        <f t="shared" si="44"/>
        <v/>
      </c>
      <c r="AE84" s="633" t="str">
        <f t="shared" si="45"/>
        <v/>
      </c>
      <c r="AF84" s="632" t="str">
        <f t="shared" si="46"/>
        <v/>
      </c>
      <c r="AG84" s="634" t="str">
        <f t="shared" si="47"/>
        <v/>
      </c>
      <c r="AH84" s="635" t="str">
        <f t="shared" si="48"/>
        <v/>
      </c>
      <c r="AI84" s="633" t="str">
        <f t="shared" si="49"/>
        <v/>
      </c>
      <c r="AJ84" s="632" t="str">
        <f t="shared" si="50"/>
        <v/>
      </c>
      <c r="AK84" s="636" t="str">
        <f t="shared" si="51"/>
        <v/>
      </c>
      <c r="AL84" s="637" t="str">
        <f t="shared" si="52"/>
        <v/>
      </c>
      <c r="AM84" s="633" t="str">
        <f t="shared" si="53"/>
        <v/>
      </c>
      <c r="AN84" s="38"/>
    </row>
    <row r="85" spans="1:40" ht="13.2" x14ac:dyDescent="0.25">
      <c r="A85" s="26"/>
      <c r="B85" s="38"/>
      <c r="C85" s="261" t="s">
        <v>441</v>
      </c>
      <c r="D85" s="644" t="str">
        <f>IF('WK2 - Notional General Income'!C100="","",'WK2 - Notional General Income'!C100)</f>
        <v/>
      </c>
      <c r="E85" s="635" t="str">
        <f>IF('WK2 - Notional General Income'!L100="","",'WK2 - Notional General Income'!L100/'WK2 - Notional General Income'!D100)</f>
        <v/>
      </c>
      <c r="F85" s="635" t="str">
        <f>IF('WK3 - Notional GI Yr1 YIELD'!L97="","",'WK3 - Notional GI Yr1 YIELD'!L97/'WK3 - Notional GI Yr1 YIELD'!D97)</f>
        <v/>
      </c>
      <c r="G85" s="472"/>
      <c r="H85" s="472"/>
      <c r="I85" s="472"/>
      <c r="J85" s="472"/>
      <c r="K85" s="472"/>
      <c r="L85" s="472"/>
      <c r="M85" s="38"/>
      <c r="N85" s="632" t="str">
        <f t="shared" si="28"/>
        <v/>
      </c>
      <c r="O85" s="633" t="str">
        <f t="shared" si="29"/>
        <v/>
      </c>
      <c r="P85" s="632" t="str">
        <f t="shared" si="30"/>
        <v/>
      </c>
      <c r="Q85" s="634" t="str">
        <f t="shared" si="31"/>
        <v/>
      </c>
      <c r="R85" s="635" t="str">
        <f t="shared" si="32"/>
        <v/>
      </c>
      <c r="S85" s="633" t="str">
        <f t="shared" si="33"/>
        <v/>
      </c>
      <c r="T85" s="632" t="str">
        <f t="shared" si="34"/>
        <v/>
      </c>
      <c r="U85" s="634" t="str">
        <f t="shared" si="35"/>
        <v/>
      </c>
      <c r="V85" s="635" t="str">
        <f t="shared" si="36"/>
        <v/>
      </c>
      <c r="W85" s="633" t="str">
        <f t="shared" si="37"/>
        <v/>
      </c>
      <c r="X85" s="632" t="str">
        <f t="shared" si="38"/>
        <v/>
      </c>
      <c r="Y85" s="634" t="str">
        <f t="shared" si="39"/>
        <v/>
      </c>
      <c r="Z85" s="635" t="str">
        <f t="shared" si="40"/>
        <v/>
      </c>
      <c r="AA85" s="633" t="str">
        <f t="shared" si="41"/>
        <v/>
      </c>
      <c r="AB85" s="632" t="str">
        <f t="shared" si="42"/>
        <v/>
      </c>
      <c r="AC85" s="634" t="str">
        <f t="shared" si="43"/>
        <v/>
      </c>
      <c r="AD85" s="635" t="str">
        <f t="shared" si="44"/>
        <v/>
      </c>
      <c r="AE85" s="633" t="str">
        <f t="shared" si="45"/>
        <v/>
      </c>
      <c r="AF85" s="632" t="str">
        <f t="shared" si="46"/>
        <v/>
      </c>
      <c r="AG85" s="634" t="str">
        <f t="shared" si="47"/>
        <v/>
      </c>
      <c r="AH85" s="635" t="str">
        <f t="shared" si="48"/>
        <v/>
      </c>
      <c r="AI85" s="633" t="str">
        <f t="shared" si="49"/>
        <v/>
      </c>
      <c r="AJ85" s="632" t="str">
        <f t="shared" si="50"/>
        <v/>
      </c>
      <c r="AK85" s="636" t="str">
        <f t="shared" si="51"/>
        <v/>
      </c>
      <c r="AL85" s="637" t="str">
        <f t="shared" si="52"/>
        <v/>
      </c>
      <c r="AM85" s="633" t="str">
        <f t="shared" si="53"/>
        <v/>
      </c>
      <c r="AN85" s="38"/>
    </row>
    <row r="86" spans="1:40" ht="13.2" x14ac:dyDescent="0.25">
      <c r="A86" s="26"/>
      <c r="B86" s="38"/>
      <c r="C86" s="261" t="s">
        <v>441</v>
      </c>
      <c r="D86" s="644" t="str">
        <f>IF('WK2 - Notional General Income'!C101="","",'WK2 - Notional General Income'!C101)</f>
        <v/>
      </c>
      <c r="E86" s="635" t="str">
        <f>IF('WK2 - Notional General Income'!L101="","",'WK2 - Notional General Income'!L101/'WK2 - Notional General Income'!D101)</f>
        <v/>
      </c>
      <c r="F86" s="635" t="str">
        <f>IF('WK3 - Notional GI Yr1 YIELD'!L98="","",'WK3 - Notional GI Yr1 YIELD'!L98/'WK3 - Notional GI Yr1 YIELD'!D98)</f>
        <v/>
      </c>
      <c r="G86" s="472"/>
      <c r="H86" s="472"/>
      <c r="I86" s="472"/>
      <c r="J86" s="472"/>
      <c r="K86" s="472"/>
      <c r="L86" s="472"/>
      <c r="M86" s="38"/>
      <c r="N86" s="632" t="str">
        <f t="shared" si="28"/>
        <v/>
      </c>
      <c r="O86" s="633" t="str">
        <f t="shared" si="29"/>
        <v/>
      </c>
      <c r="P86" s="632" t="str">
        <f t="shared" si="30"/>
        <v/>
      </c>
      <c r="Q86" s="634" t="str">
        <f t="shared" si="31"/>
        <v/>
      </c>
      <c r="R86" s="635" t="str">
        <f t="shared" si="32"/>
        <v/>
      </c>
      <c r="S86" s="633" t="str">
        <f t="shared" si="33"/>
        <v/>
      </c>
      <c r="T86" s="632" t="str">
        <f t="shared" si="34"/>
        <v/>
      </c>
      <c r="U86" s="634" t="str">
        <f t="shared" si="35"/>
        <v/>
      </c>
      <c r="V86" s="635" t="str">
        <f t="shared" si="36"/>
        <v/>
      </c>
      <c r="W86" s="633" t="str">
        <f t="shared" si="37"/>
        <v/>
      </c>
      <c r="X86" s="632" t="str">
        <f t="shared" si="38"/>
        <v/>
      </c>
      <c r="Y86" s="634" t="str">
        <f t="shared" si="39"/>
        <v/>
      </c>
      <c r="Z86" s="635" t="str">
        <f t="shared" si="40"/>
        <v/>
      </c>
      <c r="AA86" s="633" t="str">
        <f t="shared" si="41"/>
        <v/>
      </c>
      <c r="AB86" s="632" t="str">
        <f t="shared" si="42"/>
        <v/>
      </c>
      <c r="AC86" s="634" t="str">
        <f t="shared" si="43"/>
        <v/>
      </c>
      <c r="AD86" s="635" t="str">
        <f t="shared" si="44"/>
        <v/>
      </c>
      <c r="AE86" s="633" t="str">
        <f t="shared" si="45"/>
        <v/>
      </c>
      <c r="AF86" s="632" t="str">
        <f t="shared" si="46"/>
        <v/>
      </c>
      <c r="AG86" s="634" t="str">
        <f t="shared" si="47"/>
        <v/>
      </c>
      <c r="AH86" s="635" t="str">
        <f t="shared" si="48"/>
        <v/>
      </c>
      <c r="AI86" s="633" t="str">
        <f t="shared" si="49"/>
        <v/>
      </c>
      <c r="AJ86" s="632" t="str">
        <f t="shared" si="50"/>
        <v/>
      </c>
      <c r="AK86" s="636" t="str">
        <f t="shared" si="51"/>
        <v/>
      </c>
      <c r="AL86" s="637" t="str">
        <f t="shared" si="52"/>
        <v/>
      </c>
      <c r="AM86" s="633" t="str">
        <f t="shared" si="53"/>
        <v/>
      </c>
      <c r="AN86" s="38"/>
    </row>
    <row r="87" spans="1:40" ht="13.2" x14ac:dyDescent="0.25">
      <c r="A87" s="26"/>
      <c r="B87" s="38"/>
      <c r="C87" s="261" t="s">
        <v>441</v>
      </c>
      <c r="D87" s="644" t="str">
        <f>IF('WK2 - Notional General Income'!C102="","",'WK2 - Notional General Income'!C102)</f>
        <v/>
      </c>
      <c r="E87" s="635" t="str">
        <f>IF('WK2 - Notional General Income'!L102="","",'WK2 - Notional General Income'!L102/'WK2 - Notional General Income'!D102)</f>
        <v/>
      </c>
      <c r="F87" s="635" t="str">
        <f>IF('WK3 - Notional GI Yr1 YIELD'!L99="","",'WK3 - Notional GI Yr1 YIELD'!L99/'WK3 - Notional GI Yr1 YIELD'!D99)</f>
        <v/>
      </c>
      <c r="G87" s="472"/>
      <c r="H87" s="472"/>
      <c r="I87" s="472"/>
      <c r="J87" s="472"/>
      <c r="K87" s="472"/>
      <c r="L87" s="472"/>
      <c r="M87" s="38"/>
      <c r="N87" s="632" t="str">
        <f t="shared" si="28"/>
        <v/>
      </c>
      <c r="O87" s="633" t="str">
        <f t="shared" si="29"/>
        <v/>
      </c>
      <c r="P87" s="632" t="str">
        <f t="shared" si="30"/>
        <v/>
      </c>
      <c r="Q87" s="634" t="str">
        <f t="shared" si="31"/>
        <v/>
      </c>
      <c r="R87" s="635" t="str">
        <f t="shared" si="32"/>
        <v/>
      </c>
      <c r="S87" s="633" t="str">
        <f t="shared" si="33"/>
        <v/>
      </c>
      <c r="T87" s="632" t="str">
        <f t="shared" si="34"/>
        <v/>
      </c>
      <c r="U87" s="634" t="str">
        <f t="shared" si="35"/>
        <v/>
      </c>
      <c r="V87" s="635" t="str">
        <f t="shared" si="36"/>
        <v/>
      </c>
      <c r="W87" s="633" t="str">
        <f t="shared" si="37"/>
        <v/>
      </c>
      <c r="X87" s="632" t="str">
        <f t="shared" si="38"/>
        <v/>
      </c>
      <c r="Y87" s="634" t="str">
        <f t="shared" si="39"/>
        <v/>
      </c>
      <c r="Z87" s="635" t="str">
        <f t="shared" si="40"/>
        <v/>
      </c>
      <c r="AA87" s="633" t="str">
        <f t="shared" si="41"/>
        <v/>
      </c>
      <c r="AB87" s="632" t="str">
        <f t="shared" si="42"/>
        <v/>
      </c>
      <c r="AC87" s="634" t="str">
        <f t="shared" si="43"/>
        <v/>
      </c>
      <c r="AD87" s="635" t="str">
        <f t="shared" si="44"/>
        <v/>
      </c>
      <c r="AE87" s="633" t="str">
        <f t="shared" si="45"/>
        <v/>
      </c>
      <c r="AF87" s="632" t="str">
        <f t="shared" si="46"/>
        <v/>
      </c>
      <c r="AG87" s="634" t="str">
        <f t="shared" si="47"/>
        <v/>
      </c>
      <c r="AH87" s="635" t="str">
        <f t="shared" si="48"/>
        <v/>
      </c>
      <c r="AI87" s="633" t="str">
        <f t="shared" si="49"/>
        <v/>
      </c>
      <c r="AJ87" s="632" t="str">
        <f t="shared" si="50"/>
        <v/>
      </c>
      <c r="AK87" s="636" t="str">
        <f t="shared" si="51"/>
        <v/>
      </c>
      <c r="AL87" s="637" t="str">
        <f t="shared" si="52"/>
        <v/>
      </c>
      <c r="AM87" s="633" t="str">
        <f t="shared" si="53"/>
        <v/>
      </c>
      <c r="AN87" s="38"/>
    </row>
    <row r="88" spans="1:40" ht="13.2" x14ac:dyDescent="0.25">
      <c r="A88" s="26"/>
      <c r="B88" s="38"/>
      <c r="C88" s="261" t="s">
        <v>441</v>
      </c>
      <c r="D88" s="644" t="str">
        <f>IF('WK2 - Notional General Income'!C103="","",'WK2 - Notional General Income'!C103)</f>
        <v/>
      </c>
      <c r="E88" s="635" t="str">
        <f>IF('WK2 - Notional General Income'!L103="","",'WK2 - Notional General Income'!L103/'WK2 - Notional General Income'!D103)</f>
        <v/>
      </c>
      <c r="F88" s="635" t="str">
        <f>IF('WK3 - Notional GI Yr1 YIELD'!L100="","",'WK3 - Notional GI Yr1 YIELD'!L100/'WK3 - Notional GI Yr1 YIELD'!D100)</f>
        <v/>
      </c>
      <c r="G88" s="472"/>
      <c r="H88" s="472"/>
      <c r="I88" s="472"/>
      <c r="J88" s="472"/>
      <c r="K88" s="472"/>
      <c r="L88" s="472"/>
      <c r="M88" s="38"/>
      <c r="N88" s="632" t="str">
        <f t="shared" si="28"/>
        <v/>
      </c>
      <c r="O88" s="633" t="str">
        <f t="shared" si="29"/>
        <v/>
      </c>
      <c r="P88" s="632" t="str">
        <f t="shared" si="30"/>
        <v/>
      </c>
      <c r="Q88" s="634" t="str">
        <f t="shared" si="31"/>
        <v/>
      </c>
      <c r="R88" s="635" t="str">
        <f t="shared" si="32"/>
        <v/>
      </c>
      <c r="S88" s="633" t="str">
        <f t="shared" si="33"/>
        <v/>
      </c>
      <c r="T88" s="632" t="str">
        <f t="shared" si="34"/>
        <v/>
      </c>
      <c r="U88" s="634" t="str">
        <f t="shared" si="35"/>
        <v/>
      </c>
      <c r="V88" s="635" t="str">
        <f t="shared" si="36"/>
        <v/>
      </c>
      <c r="W88" s="633" t="str">
        <f t="shared" si="37"/>
        <v/>
      </c>
      <c r="X88" s="632" t="str">
        <f t="shared" si="38"/>
        <v/>
      </c>
      <c r="Y88" s="634" t="str">
        <f t="shared" si="39"/>
        <v/>
      </c>
      <c r="Z88" s="635" t="str">
        <f t="shared" si="40"/>
        <v/>
      </c>
      <c r="AA88" s="633" t="str">
        <f t="shared" si="41"/>
        <v/>
      </c>
      <c r="AB88" s="632" t="str">
        <f t="shared" si="42"/>
        <v/>
      </c>
      <c r="AC88" s="634" t="str">
        <f t="shared" si="43"/>
        <v/>
      </c>
      <c r="AD88" s="635" t="str">
        <f t="shared" si="44"/>
        <v/>
      </c>
      <c r="AE88" s="633" t="str">
        <f t="shared" si="45"/>
        <v/>
      </c>
      <c r="AF88" s="632" t="str">
        <f t="shared" si="46"/>
        <v/>
      </c>
      <c r="AG88" s="634" t="str">
        <f t="shared" si="47"/>
        <v/>
      </c>
      <c r="AH88" s="635" t="str">
        <f t="shared" si="48"/>
        <v/>
      </c>
      <c r="AI88" s="633" t="str">
        <f t="shared" si="49"/>
        <v/>
      </c>
      <c r="AJ88" s="632" t="str">
        <f t="shared" si="50"/>
        <v/>
      </c>
      <c r="AK88" s="636" t="str">
        <f t="shared" si="51"/>
        <v/>
      </c>
      <c r="AL88" s="637" t="str">
        <f t="shared" si="52"/>
        <v/>
      </c>
      <c r="AM88" s="633" t="str">
        <f t="shared" si="53"/>
        <v/>
      </c>
      <c r="AN88" s="38"/>
    </row>
    <row r="89" spans="1:40" ht="13.2" x14ac:dyDescent="0.25">
      <c r="A89" s="26"/>
      <c r="B89" s="38"/>
      <c r="C89" s="261" t="s">
        <v>441</v>
      </c>
      <c r="D89" s="644" t="str">
        <f>IF('WK2 - Notional General Income'!C104="","",'WK2 - Notional General Income'!C104)</f>
        <v/>
      </c>
      <c r="E89" s="635" t="str">
        <f>IF('WK2 - Notional General Income'!L104="","",'WK2 - Notional General Income'!L104/'WK2 - Notional General Income'!D104)</f>
        <v/>
      </c>
      <c r="F89" s="635" t="str">
        <f>IF('WK3 - Notional GI Yr1 YIELD'!L101="","",'WK3 - Notional GI Yr1 YIELD'!L101/'WK3 - Notional GI Yr1 YIELD'!D101)</f>
        <v/>
      </c>
      <c r="G89" s="472"/>
      <c r="H89" s="472"/>
      <c r="I89" s="472"/>
      <c r="J89" s="472"/>
      <c r="K89" s="472"/>
      <c r="L89" s="472"/>
      <c r="M89" s="38"/>
      <c r="N89" s="632" t="str">
        <f t="shared" si="28"/>
        <v/>
      </c>
      <c r="O89" s="633" t="str">
        <f t="shared" si="29"/>
        <v/>
      </c>
      <c r="P89" s="632" t="str">
        <f t="shared" si="30"/>
        <v/>
      </c>
      <c r="Q89" s="634" t="str">
        <f t="shared" si="31"/>
        <v/>
      </c>
      <c r="R89" s="635" t="str">
        <f t="shared" si="32"/>
        <v/>
      </c>
      <c r="S89" s="633" t="str">
        <f t="shared" si="33"/>
        <v/>
      </c>
      <c r="T89" s="632" t="str">
        <f t="shared" si="34"/>
        <v/>
      </c>
      <c r="U89" s="634" t="str">
        <f t="shared" si="35"/>
        <v/>
      </c>
      <c r="V89" s="635" t="str">
        <f t="shared" si="36"/>
        <v/>
      </c>
      <c r="W89" s="633" t="str">
        <f t="shared" si="37"/>
        <v/>
      </c>
      <c r="X89" s="632" t="str">
        <f t="shared" si="38"/>
        <v/>
      </c>
      <c r="Y89" s="634" t="str">
        <f t="shared" si="39"/>
        <v/>
      </c>
      <c r="Z89" s="635" t="str">
        <f t="shared" si="40"/>
        <v/>
      </c>
      <c r="AA89" s="633" t="str">
        <f t="shared" si="41"/>
        <v/>
      </c>
      <c r="AB89" s="632" t="str">
        <f t="shared" si="42"/>
        <v/>
      </c>
      <c r="AC89" s="634" t="str">
        <f t="shared" si="43"/>
        <v/>
      </c>
      <c r="AD89" s="635" t="str">
        <f t="shared" si="44"/>
        <v/>
      </c>
      <c r="AE89" s="633" t="str">
        <f t="shared" si="45"/>
        <v/>
      </c>
      <c r="AF89" s="632" t="str">
        <f t="shared" si="46"/>
        <v/>
      </c>
      <c r="AG89" s="634" t="str">
        <f t="shared" si="47"/>
        <v/>
      </c>
      <c r="AH89" s="635" t="str">
        <f t="shared" si="48"/>
        <v/>
      </c>
      <c r="AI89" s="633" t="str">
        <f t="shared" si="49"/>
        <v/>
      </c>
      <c r="AJ89" s="632" t="str">
        <f t="shared" si="50"/>
        <v/>
      </c>
      <c r="AK89" s="636" t="str">
        <f t="shared" si="51"/>
        <v/>
      </c>
      <c r="AL89" s="637" t="str">
        <f t="shared" si="52"/>
        <v/>
      </c>
      <c r="AM89" s="633" t="str">
        <f t="shared" si="53"/>
        <v/>
      </c>
      <c r="AN89" s="38"/>
    </row>
    <row r="90" spans="1:40" s="162" customFormat="1" ht="13.2" x14ac:dyDescent="0.25">
      <c r="A90" s="454"/>
      <c r="B90" s="455"/>
      <c r="C90" s="473"/>
      <c r="D90" s="473" t="s">
        <v>419</v>
      </c>
      <c r="E90" s="635">
        <f>IF(SUM(E60:E89)=0,"",(('WK2 - Notional General Income'!L37+SUM('WK2 - Notional General Income'!L95:L104))/('WK2 - Notional General Income'!D37)))</f>
        <v>1226.237056643987</v>
      </c>
      <c r="F90" s="635">
        <f>IF(SUM(F60:F89)=0,"",('WK3 - Notional GI Yr1 YIELD'!L34+SUM('WK3 - Notional GI Yr1 YIELD'!L92:L101))/'WK3 - Notional GI Yr1 YIELD'!D34)</f>
        <v>1254.4015482672521</v>
      </c>
      <c r="G90" s="635">
        <f>G449/'WK3 - Notional GI Yr1 YIELD'!$D$34</f>
        <v>1285.7615869739332</v>
      </c>
      <c r="H90" s="635">
        <f>H449/'WK3 - Notional GI Yr1 YIELD'!$D$34</f>
        <v>1317.9056266482814</v>
      </c>
      <c r="I90" s="635">
        <f>I449/'WK3 - Notional GI Yr1 YIELD'!$D$34</f>
        <v>1350.8532673144884</v>
      </c>
      <c r="J90" s="635">
        <f>J449/'WK3 - Notional GI Yr1 YIELD'!$D$34</f>
        <v>1384.6245989973504</v>
      </c>
      <c r="K90" s="635">
        <f>K449/'WK3 - Notional GI Yr1 YIELD'!$D$34</f>
        <v>0</v>
      </c>
      <c r="L90" s="635">
        <f>L449/'WK3 - Notional GI Yr1 YIELD'!$D$34</f>
        <v>0</v>
      </c>
      <c r="M90" s="455"/>
      <c r="N90" s="632">
        <f t="shared" si="28"/>
        <v>28.164491623265121</v>
      </c>
      <c r="O90" s="633">
        <f t="shared" si="29"/>
        <v>2.2968227448897028E-2</v>
      </c>
      <c r="P90" s="632">
        <f t="shared" si="30"/>
        <v>31.360038706681053</v>
      </c>
      <c r="Q90" s="634">
        <f t="shared" si="31"/>
        <v>2.49999999999998E-2</v>
      </c>
      <c r="R90" s="635">
        <f t="shared" si="32"/>
        <v>59.524530329946174</v>
      </c>
      <c r="S90" s="633">
        <f t="shared" si="33"/>
        <v>4.8542433135119252E-2</v>
      </c>
      <c r="T90" s="632">
        <f t="shared" si="34"/>
        <v>32.144039674348278</v>
      </c>
      <c r="U90" s="634">
        <f t="shared" si="35"/>
        <v>2.499999999999996E-2</v>
      </c>
      <c r="V90" s="635">
        <f t="shared" si="36"/>
        <v>91.668570004294452</v>
      </c>
      <c r="W90" s="633">
        <f t="shared" si="37"/>
        <v>7.4755993963497192E-2</v>
      </c>
      <c r="X90" s="632">
        <f t="shared" si="38"/>
        <v>32.947640666207008</v>
      </c>
      <c r="Y90" s="634">
        <f t="shared" si="39"/>
        <v>2.4999999999999977E-2</v>
      </c>
      <c r="Z90" s="635">
        <f t="shared" si="40"/>
        <v>124.61621067050146</v>
      </c>
      <c r="AA90" s="633">
        <f t="shared" si="41"/>
        <v>0.10162489381258459</v>
      </c>
      <c r="AB90" s="632">
        <f t="shared" si="42"/>
        <v>33.771331682861955</v>
      </c>
      <c r="AC90" s="634">
        <f t="shared" si="43"/>
        <v>2.4999999999999811E-2</v>
      </c>
      <c r="AD90" s="635">
        <f t="shared" si="44"/>
        <v>158.38754235336341</v>
      </c>
      <c r="AE90" s="633">
        <f t="shared" si="45"/>
        <v>0.12916551615789901</v>
      </c>
      <c r="AF90" s="632" t="str">
        <f t="shared" si="46"/>
        <v/>
      </c>
      <c r="AG90" s="634" t="str">
        <f t="shared" si="47"/>
        <v/>
      </c>
      <c r="AH90" s="635" t="str">
        <f t="shared" si="48"/>
        <v/>
      </c>
      <c r="AI90" s="633" t="str">
        <f t="shared" si="49"/>
        <v/>
      </c>
      <c r="AJ90" s="632" t="str">
        <f t="shared" si="50"/>
        <v/>
      </c>
      <c r="AK90" s="636" t="str">
        <f t="shared" si="51"/>
        <v/>
      </c>
      <c r="AL90" s="637" t="str">
        <f t="shared" si="52"/>
        <v/>
      </c>
      <c r="AM90" s="633" t="str">
        <f t="shared" si="53"/>
        <v/>
      </c>
      <c r="AN90" s="455"/>
    </row>
    <row r="91" spans="1:40" ht="13.2" x14ac:dyDescent="0.25">
      <c r="A91" s="26"/>
      <c r="B91" s="38"/>
      <c r="C91" s="261" t="s">
        <v>209</v>
      </c>
      <c r="D91" s="644" t="str">
        <f>IF('WK2 - Notional General Income'!C38="","",'WK2 - Notional General Income'!C38)</f>
        <v>Inner CBD</v>
      </c>
      <c r="E91" s="635">
        <f>IF('WK2 - Notional General Income'!L38="","",'WK2 - Notional General Income'!L38/'WK2 - Notional General Income'!D38)</f>
        <v>8238.9893681324793</v>
      </c>
      <c r="F91" s="635">
        <f>IF('WK3 - Notional GI Yr1 YIELD'!L35="","",'WK3 - Notional GI Yr1 YIELD'!L35/'WK3 - Notional GI Yr1 YIELD'!D35)</f>
        <v>8431.5270591452991</v>
      </c>
      <c r="G91" s="472">
        <f t="shared" ref="G91:J94" si="54">F91*1.025</f>
        <v>8642.3152356239316</v>
      </c>
      <c r="H91" s="472">
        <f t="shared" si="54"/>
        <v>8858.3731165145291</v>
      </c>
      <c r="I91" s="472">
        <f t="shared" si="54"/>
        <v>9079.8324444273912</v>
      </c>
      <c r="J91" s="472">
        <f t="shared" si="54"/>
        <v>9306.8282555380756</v>
      </c>
      <c r="K91" s="472"/>
      <c r="L91" s="472"/>
      <c r="M91" s="38"/>
      <c r="N91" s="632">
        <f t="shared" si="28"/>
        <v>192.53769101281978</v>
      </c>
      <c r="O91" s="633">
        <f t="shared" si="29"/>
        <v>2.33690908447503E-2</v>
      </c>
      <c r="P91" s="632">
        <f t="shared" si="30"/>
        <v>210.78817647863252</v>
      </c>
      <c r="Q91" s="634">
        <f t="shared" si="31"/>
        <v>2.5000000000000005E-2</v>
      </c>
      <c r="R91" s="635">
        <f t="shared" si="32"/>
        <v>403.3258674914523</v>
      </c>
      <c r="S91" s="633">
        <f t="shared" si="33"/>
        <v>4.895331811586906E-2</v>
      </c>
      <c r="T91" s="632">
        <f t="shared" si="34"/>
        <v>216.05788089059752</v>
      </c>
      <c r="U91" s="634">
        <f t="shared" si="35"/>
        <v>2.4999999999999911E-2</v>
      </c>
      <c r="V91" s="635">
        <f t="shared" si="36"/>
        <v>619.38374838204982</v>
      </c>
      <c r="W91" s="633">
        <f t="shared" si="37"/>
        <v>7.5177151068765699E-2</v>
      </c>
      <c r="X91" s="632">
        <f t="shared" si="38"/>
        <v>221.45932791286214</v>
      </c>
      <c r="Y91" s="634">
        <f t="shared" si="39"/>
        <v>2.4999999999999876E-2</v>
      </c>
      <c r="Z91" s="635">
        <f t="shared" si="40"/>
        <v>840.84307629491195</v>
      </c>
      <c r="AA91" s="633">
        <f t="shared" si="41"/>
        <v>0.1020565798454847</v>
      </c>
      <c r="AB91" s="632">
        <f t="shared" si="42"/>
        <v>226.99581111068437</v>
      </c>
      <c r="AC91" s="634">
        <f t="shared" si="43"/>
        <v>2.4999999999999956E-2</v>
      </c>
      <c r="AD91" s="635">
        <f t="shared" si="44"/>
        <v>1067.8388874055963</v>
      </c>
      <c r="AE91" s="633">
        <f t="shared" si="45"/>
        <v>0.12960799434162176</v>
      </c>
      <c r="AF91" s="632" t="str">
        <f t="shared" si="46"/>
        <v/>
      </c>
      <c r="AG91" s="634" t="str">
        <f t="shared" si="47"/>
        <v/>
      </c>
      <c r="AH91" s="635" t="str">
        <f t="shared" si="48"/>
        <v/>
      </c>
      <c r="AI91" s="633" t="str">
        <f t="shared" si="49"/>
        <v/>
      </c>
      <c r="AJ91" s="632" t="str">
        <f t="shared" si="50"/>
        <v/>
      </c>
      <c r="AK91" s="636" t="str">
        <f t="shared" si="51"/>
        <v/>
      </c>
      <c r="AL91" s="637" t="str">
        <f t="shared" si="52"/>
        <v/>
      </c>
      <c r="AM91" s="633" t="str">
        <f t="shared" si="53"/>
        <v/>
      </c>
      <c r="AN91" s="38"/>
    </row>
    <row r="92" spans="1:40" ht="13.2" x14ac:dyDescent="0.25">
      <c r="A92" s="26"/>
      <c r="B92" s="38"/>
      <c r="C92" s="261" t="s">
        <v>209</v>
      </c>
      <c r="D92" s="644" t="str">
        <f>IF('WK2 - Notional General Income'!C39="","",'WK2 - Notional General Income'!C39)</f>
        <v>Urban</v>
      </c>
      <c r="E92" s="635">
        <f>IF('WK2 - Notional General Income'!L39="","",'WK2 - Notional General Income'!L39/'WK2 - Notional General Income'!D39)</f>
        <v>4412.1322668018538</v>
      </c>
      <c r="F92" s="635">
        <f>IF('WK3 - Notional GI Yr1 YIELD'!L36="","",'WK3 - Notional GI Yr1 YIELD'!L36/'WK3 - Notional GI Yr1 YIELD'!D36)</f>
        <v>4515.1193544727694</v>
      </c>
      <c r="G92" s="472">
        <f t="shared" si="54"/>
        <v>4627.9973383345878</v>
      </c>
      <c r="H92" s="472">
        <f t="shared" si="54"/>
        <v>4743.6972717929521</v>
      </c>
      <c r="I92" s="472">
        <f t="shared" si="54"/>
        <v>4862.2897035877759</v>
      </c>
      <c r="J92" s="472">
        <f t="shared" si="54"/>
        <v>4983.8469461774703</v>
      </c>
      <c r="K92" s="472"/>
      <c r="L92" s="472"/>
      <c r="M92" s="38"/>
      <c r="N92" s="632">
        <f t="shared" si="28"/>
        <v>102.98708767091557</v>
      </c>
      <c r="O92" s="633">
        <f t="shared" si="29"/>
        <v>2.3341795178222536E-2</v>
      </c>
      <c r="P92" s="632">
        <f t="shared" si="30"/>
        <v>112.87798386181839</v>
      </c>
      <c r="Q92" s="634">
        <f t="shared" si="31"/>
        <v>2.4999999999999814E-2</v>
      </c>
      <c r="R92" s="635">
        <f t="shared" si="32"/>
        <v>215.86507153273396</v>
      </c>
      <c r="S92" s="633">
        <f t="shared" si="33"/>
        <v>4.8925340057677909E-2</v>
      </c>
      <c r="T92" s="632">
        <f t="shared" si="34"/>
        <v>115.69993345836428</v>
      </c>
      <c r="U92" s="634">
        <f t="shared" si="35"/>
        <v>2.4999999999999911E-2</v>
      </c>
      <c r="V92" s="635">
        <f t="shared" si="36"/>
        <v>331.56500499109825</v>
      </c>
      <c r="W92" s="633">
        <f t="shared" si="37"/>
        <v>7.5148473559119758E-2</v>
      </c>
      <c r="X92" s="632">
        <f t="shared" si="38"/>
        <v>118.59243179482382</v>
      </c>
      <c r="Y92" s="634">
        <f t="shared" si="39"/>
        <v>2.5000000000000005E-2</v>
      </c>
      <c r="Z92" s="635">
        <f t="shared" si="40"/>
        <v>450.15743678592207</v>
      </c>
      <c r="AA92" s="633">
        <f t="shared" si="41"/>
        <v>0.10202718539809776</v>
      </c>
      <c r="AB92" s="632">
        <f t="shared" si="42"/>
        <v>121.5572425896944</v>
      </c>
      <c r="AC92" s="634">
        <f t="shared" si="43"/>
        <v>2.5000000000000001E-2</v>
      </c>
      <c r="AD92" s="635">
        <f t="shared" si="44"/>
        <v>571.71467937561647</v>
      </c>
      <c r="AE92" s="633">
        <f t="shared" si="45"/>
        <v>0.12957786503305022</v>
      </c>
      <c r="AF92" s="632" t="str">
        <f t="shared" si="46"/>
        <v/>
      </c>
      <c r="AG92" s="634" t="str">
        <f t="shared" si="47"/>
        <v/>
      </c>
      <c r="AH92" s="635" t="str">
        <f t="shared" si="48"/>
        <v/>
      </c>
      <c r="AI92" s="633" t="str">
        <f t="shared" si="49"/>
        <v/>
      </c>
      <c r="AJ92" s="632" t="str">
        <f t="shared" si="50"/>
        <v/>
      </c>
      <c r="AK92" s="636" t="str">
        <f t="shared" si="51"/>
        <v/>
      </c>
      <c r="AL92" s="637" t="str">
        <f t="shared" si="52"/>
        <v/>
      </c>
      <c r="AM92" s="633" t="str">
        <f t="shared" si="53"/>
        <v/>
      </c>
      <c r="AN92" s="38"/>
    </row>
    <row r="93" spans="1:40" ht="13.2" x14ac:dyDescent="0.25">
      <c r="A93" s="26"/>
      <c r="B93" s="38"/>
      <c r="C93" s="261" t="s">
        <v>209</v>
      </c>
      <c r="D93" s="644" t="str">
        <f>IF('WK2 - Notional General Income'!C40="","",'WK2 - Notional General Income'!C40)</f>
        <v>Other</v>
      </c>
      <c r="E93" s="635">
        <f>IF('WK2 - Notional General Income'!L40="","",'WK2 - Notional General Income'!L40/'WK2 - Notional General Income'!D40)</f>
        <v>1694.6724120238096</v>
      </c>
      <c r="F93" s="635">
        <f>IF('WK3 - Notional GI Yr1 YIELD'!L37="","",'WK3 - Notional GI Yr1 YIELD'!L37/'WK3 - Notional GI Yr1 YIELD'!D37)</f>
        <v>1733.6728604761904</v>
      </c>
      <c r="G93" s="472">
        <f t="shared" si="54"/>
        <v>1777.0146819880949</v>
      </c>
      <c r="H93" s="472">
        <f t="shared" si="54"/>
        <v>1821.4400490377971</v>
      </c>
      <c r="I93" s="472">
        <f t="shared" si="54"/>
        <v>1866.9760502637419</v>
      </c>
      <c r="J93" s="472">
        <f t="shared" si="54"/>
        <v>1913.6504515203353</v>
      </c>
      <c r="K93" s="472"/>
      <c r="L93" s="472"/>
      <c r="M93" s="38"/>
      <c r="N93" s="632">
        <f t="shared" si="28"/>
        <v>39.000448452380851</v>
      </c>
      <c r="O93" s="633">
        <f t="shared" si="29"/>
        <v>2.3013561898848511E-2</v>
      </c>
      <c r="P93" s="632">
        <f t="shared" si="30"/>
        <v>43.341821511904527</v>
      </c>
      <c r="Q93" s="634">
        <f t="shared" si="31"/>
        <v>2.4999999999999866E-2</v>
      </c>
      <c r="R93" s="635">
        <f t="shared" si="32"/>
        <v>82.342269964285379</v>
      </c>
      <c r="S93" s="633">
        <f t="shared" si="33"/>
        <v>4.858890094631959E-2</v>
      </c>
      <c r="T93" s="632">
        <f t="shared" si="34"/>
        <v>44.425367049702118</v>
      </c>
      <c r="U93" s="634">
        <f t="shared" si="35"/>
        <v>2.4999999999999856E-2</v>
      </c>
      <c r="V93" s="635">
        <f t="shared" si="36"/>
        <v>126.7676370139875</v>
      </c>
      <c r="W93" s="633">
        <f t="shared" si="37"/>
        <v>7.4803623469977432E-2</v>
      </c>
      <c r="X93" s="632">
        <f t="shared" si="38"/>
        <v>45.536001225944801</v>
      </c>
      <c r="Y93" s="634">
        <f t="shared" si="39"/>
        <v>2.4999999999999932E-2</v>
      </c>
      <c r="Z93" s="635">
        <f t="shared" si="40"/>
        <v>172.3036382399323</v>
      </c>
      <c r="AA93" s="633">
        <f t="shared" si="41"/>
        <v>0.10167371405672679</v>
      </c>
      <c r="AB93" s="632">
        <f t="shared" si="42"/>
        <v>46.674401256593455</v>
      </c>
      <c r="AC93" s="634">
        <f t="shared" si="43"/>
        <v>2.4999999999999953E-2</v>
      </c>
      <c r="AD93" s="635">
        <f t="shared" si="44"/>
        <v>218.97803949652575</v>
      </c>
      <c r="AE93" s="633">
        <f t="shared" si="45"/>
        <v>0.1292155569081449</v>
      </c>
      <c r="AF93" s="632" t="str">
        <f t="shared" si="46"/>
        <v/>
      </c>
      <c r="AG93" s="634" t="str">
        <f t="shared" si="47"/>
        <v/>
      </c>
      <c r="AH93" s="635" t="str">
        <f t="shared" si="48"/>
        <v/>
      </c>
      <c r="AI93" s="633" t="str">
        <f t="shared" si="49"/>
        <v/>
      </c>
      <c r="AJ93" s="632" t="str">
        <f t="shared" si="50"/>
        <v/>
      </c>
      <c r="AK93" s="636" t="str">
        <f t="shared" si="51"/>
        <v/>
      </c>
      <c r="AL93" s="637" t="str">
        <f t="shared" si="52"/>
        <v/>
      </c>
      <c r="AM93" s="633" t="str">
        <f t="shared" si="53"/>
        <v/>
      </c>
      <c r="AN93" s="38"/>
    </row>
    <row r="94" spans="1:40" ht="13.2" x14ac:dyDescent="0.25">
      <c r="A94" s="26"/>
      <c r="B94" s="38"/>
      <c r="C94" s="261" t="s">
        <v>209</v>
      </c>
      <c r="D94" s="644" t="str">
        <f>IF('WK2 - Notional General Income'!C41="","",'WK2 - Notional General Income'!C41)</f>
        <v>Nimbin</v>
      </c>
      <c r="E94" s="635">
        <f>IF('WK2 - Notional General Income'!L41="","",'WK2 - Notional General Income'!L41/'WK2 - Notional General Income'!D41)</f>
        <v>2323.4861900000001</v>
      </c>
      <c r="F94" s="635">
        <f>IF('WK3 - Notional GI Yr1 YIELD'!L38="","",'WK3 - Notional GI Yr1 YIELD'!L38/'WK3 - Notional GI Yr1 YIELD'!D38)</f>
        <v>2376.88958</v>
      </c>
      <c r="G94" s="472">
        <f t="shared" si="54"/>
        <v>2436.3118194999997</v>
      </c>
      <c r="H94" s="472">
        <f t="shared" si="54"/>
        <v>2497.2196149874994</v>
      </c>
      <c r="I94" s="472">
        <f t="shared" si="54"/>
        <v>2559.6501053621869</v>
      </c>
      <c r="J94" s="472">
        <f t="shared" si="54"/>
        <v>2623.6413579962414</v>
      </c>
      <c r="K94" s="472"/>
      <c r="L94" s="472"/>
      <c r="M94" s="38"/>
      <c r="N94" s="632">
        <f t="shared" si="28"/>
        <v>53.403389999999945</v>
      </c>
      <c r="O94" s="633">
        <f t="shared" si="29"/>
        <v>2.2984165014555108E-2</v>
      </c>
      <c r="P94" s="632">
        <f t="shared" si="30"/>
        <v>59.422239499999705</v>
      </c>
      <c r="Q94" s="634">
        <f t="shared" si="31"/>
        <v>2.4999999999999876E-2</v>
      </c>
      <c r="R94" s="635">
        <f t="shared" si="32"/>
        <v>112.82562949999965</v>
      </c>
      <c r="S94" s="633">
        <f t="shared" si="33"/>
        <v>4.8558769139918856E-2</v>
      </c>
      <c r="T94" s="632">
        <f t="shared" si="34"/>
        <v>60.907795487499698</v>
      </c>
      <c r="U94" s="634">
        <f t="shared" si="35"/>
        <v>2.499999999999988E-2</v>
      </c>
      <c r="V94" s="635">
        <f t="shared" si="36"/>
        <v>173.73342498749935</v>
      </c>
      <c r="W94" s="633">
        <f t="shared" si="37"/>
        <v>7.4772738368416705E-2</v>
      </c>
      <c r="X94" s="632">
        <f t="shared" si="38"/>
        <v>62.430490374687452</v>
      </c>
      <c r="Y94" s="634">
        <f t="shared" si="39"/>
        <v>2.4999999999999988E-2</v>
      </c>
      <c r="Z94" s="635">
        <f t="shared" si="40"/>
        <v>236.1639153621868</v>
      </c>
      <c r="AA94" s="633">
        <f t="shared" si="41"/>
        <v>0.1016420568276271</v>
      </c>
      <c r="AB94" s="632">
        <f t="shared" si="42"/>
        <v>63.99125263405449</v>
      </c>
      <c r="AC94" s="634">
        <f t="shared" si="43"/>
        <v>2.4999999999999929E-2</v>
      </c>
      <c r="AD94" s="635">
        <f t="shared" si="44"/>
        <v>300.15516799624129</v>
      </c>
      <c r="AE94" s="633">
        <f t="shared" si="45"/>
        <v>0.12918310824831772</v>
      </c>
      <c r="AF94" s="632" t="str">
        <f t="shared" si="46"/>
        <v/>
      </c>
      <c r="AG94" s="634" t="str">
        <f t="shared" si="47"/>
        <v/>
      </c>
      <c r="AH94" s="635" t="str">
        <f t="shared" si="48"/>
        <v/>
      </c>
      <c r="AI94" s="633" t="str">
        <f t="shared" si="49"/>
        <v/>
      </c>
      <c r="AJ94" s="632" t="str">
        <f t="shared" si="50"/>
        <v/>
      </c>
      <c r="AK94" s="636" t="str">
        <f t="shared" si="51"/>
        <v/>
      </c>
      <c r="AL94" s="637" t="str">
        <f t="shared" si="52"/>
        <v/>
      </c>
      <c r="AM94" s="633" t="str">
        <f t="shared" si="53"/>
        <v/>
      </c>
      <c r="AN94" s="38"/>
    </row>
    <row r="95" spans="1:40" ht="13.2" x14ac:dyDescent="0.25">
      <c r="A95" s="26"/>
      <c r="B95" s="38"/>
      <c r="C95" s="261" t="s">
        <v>209</v>
      </c>
      <c r="D95" s="644" t="str">
        <f>IF('WK2 - Notional General Income'!C42="","",'WK2 - Notional General Income'!C42)</f>
        <v/>
      </c>
      <c r="E95" s="635" t="str">
        <f>IF('WK2 - Notional General Income'!L42="","",'WK2 - Notional General Income'!L42/'WK2 - Notional General Income'!D42)</f>
        <v/>
      </c>
      <c r="F95" s="635" t="str">
        <f>IF('WK3 - Notional GI Yr1 YIELD'!L39="","",'WK3 - Notional GI Yr1 YIELD'!L39/'WK3 - Notional GI Yr1 YIELD'!D39)</f>
        <v/>
      </c>
      <c r="G95" s="472"/>
      <c r="H95" s="472"/>
      <c r="I95" s="472"/>
      <c r="J95" s="472"/>
      <c r="K95" s="472"/>
      <c r="L95" s="472"/>
      <c r="M95" s="38"/>
      <c r="N95" s="632" t="str">
        <f t="shared" si="28"/>
        <v/>
      </c>
      <c r="O95" s="633" t="str">
        <f t="shared" si="29"/>
        <v/>
      </c>
      <c r="P95" s="632" t="str">
        <f t="shared" si="30"/>
        <v/>
      </c>
      <c r="Q95" s="634" t="str">
        <f t="shared" si="31"/>
        <v/>
      </c>
      <c r="R95" s="635" t="str">
        <f t="shared" si="32"/>
        <v/>
      </c>
      <c r="S95" s="633" t="str">
        <f t="shared" si="33"/>
        <v/>
      </c>
      <c r="T95" s="632" t="str">
        <f t="shared" si="34"/>
        <v/>
      </c>
      <c r="U95" s="634" t="str">
        <f t="shared" si="35"/>
        <v/>
      </c>
      <c r="V95" s="635" t="str">
        <f t="shared" si="36"/>
        <v/>
      </c>
      <c r="W95" s="633" t="str">
        <f t="shared" si="37"/>
        <v/>
      </c>
      <c r="X95" s="632" t="str">
        <f t="shared" si="38"/>
        <v/>
      </c>
      <c r="Y95" s="634" t="str">
        <f t="shared" si="39"/>
        <v/>
      </c>
      <c r="Z95" s="635" t="str">
        <f t="shared" si="40"/>
        <v/>
      </c>
      <c r="AA95" s="633" t="str">
        <f t="shared" si="41"/>
        <v/>
      </c>
      <c r="AB95" s="632" t="str">
        <f t="shared" si="42"/>
        <v/>
      </c>
      <c r="AC95" s="634" t="str">
        <f t="shared" si="43"/>
        <v/>
      </c>
      <c r="AD95" s="635" t="str">
        <f t="shared" si="44"/>
        <v/>
      </c>
      <c r="AE95" s="633" t="str">
        <f t="shared" si="45"/>
        <v/>
      </c>
      <c r="AF95" s="632" t="str">
        <f t="shared" si="46"/>
        <v/>
      </c>
      <c r="AG95" s="634" t="str">
        <f t="shared" si="47"/>
        <v/>
      </c>
      <c r="AH95" s="635" t="str">
        <f t="shared" si="48"/>
        <v/>
      </c>
      <c r="AI95" s="633" t="str">
        <f t="shared" si="49"/>
        <v/>
      </c>
      <c r="AJ95" s="632" t="str">
        <f t="shared" si="50"/>
        <v/>
      </c>
      <c r="AK95" s="636" t="str">
        <f t="shared" si="51"/>
        <v/>
      </c>
      <c r="AL95" s="637" t="str">
        <f t="shared" si="52"/>
        <v/>
      </c>
      <c r="AM95" s="633" t="str">
        <f t="shared" si="53"/>
        <v/>
      </c>
      <c r="AN95" s="38"/>
    </row>
    <row r="96" spans="1:40" ht="13.2" x14ac:dyDescent="0.25">
      <c r="A96" s="26"/>
      <c r="B96" s="38"/>
      <c r="C96" s="261" t="s">
        <v>209</v>
      </c>
      <c r="D96" s="644" t="str">
        <f>IF('WK2 - Notional General Income'!C43="","",'WK2 - Notional General Income'!C43)</f>
        <v/>
      </c>
      <c r="E96" s="635" t="str">
        <f>IF('WK2 - Notional General Income'!L43="","",'WK2 - Notional General Income'!L43/'WK2 - Notional General Income'!D43)</f>
        <v/>
      </c>
      <c r="F96" s="635" t="str">
        <f>IF('WK3 - Notional GI Yr1 YIELD'!L40="","",'WK3 - Notional GI Yr1 YIELD'!L40/'WK3 - Notional GI Yr1 YIELD'!D40)</f>
        <v/>
      </c>
      <c r="G96" s="472"/>
      <c r="H96" s="472"/>
      <c r="I96" s="472"/>
      <c r="J96" s="472"/>
      <c r="K96" s="472"/>
      <c r="L96" s="472"/>
      <c r="M96" s="38"/>
      <c r="N96" s="632" t="str">
        <f t="shared" si="28"/>
        <v/>
      </c>
      <c r="O96" s="633" t="str">
        <f t="shared" si="29"/>
        <v/>
      </c>
      <c r="P96" s="632" t="str">
        <f t="shared" si="30"/>
        <v/>
      </c>
      <c r="Q96" s="634" t="str">
        <f t="shared" si="31"/>
        <v/>
      </c>
      <c r="R96" s="635" t="str">
        <f t="shared" si="32"/>
        <v/>
      </c>
      <c r="S96" s="633" t="str">
        <f t="shared" si="33"/>
        <v/>
      </c>
      <c r="T96" s="632" t="str">
        <f t="shared" si="34"/>
        <v/>
      </c>
      <c r="U96" s="634" t="str">
        <f t="shared" si="35"/>
        <v/>
      </c>
      <c r="V96" s="635" t="str">
        <f t="shared" si="36"/>
        <v/>
      </c>
      <c r="W96" s="633" t="str">
        <f t="shared" si="37"/>
        <v/>
      </c>
      <c r="X96" s="632" t="str">
        <f t="shared" si="38"/>
        <v/>
      </c>
      <c r="Y96" s="634" t="str">
        <f t="shared" si="39"/>
        <v/>
      </c>
      <c r="Z96" s="635" t="str">
        <f t="shared" si="40"/>
        <v/>
      </c>
      <c r="AA96" s="633" t="str">
        <f t="shared" si="41"/>
        <v/>
      </c>
      <c r="AB96" s="632" t="str">
        <f t="shared" si="42"/>
        <v/>
      </c>
      <c r="AC96" s="634" t="str">
        <f t="shared" si="43"/>
        <v/>
      </c>
      <c r="AD96" s="635" t="str">
        <f t="shared" si="44"/>
        <v/>
      </c>
      <c r="AE96" s="633" t="str">
        <f t="shared" si="45"/>
        <v/>
      </c>
      <c r="AF96" s="632" t="str">
        <f t="shared" si="46"/>
        <v/>
      </c>
      <c r="AG96" s="634" t="str">
        <f t="shared" si="47"/>
        <v/>
      </c>
      <c r="AH96" s="635" t="str">
        <f t="shared" si="48"/>
        <v/>
      </c>
      <c r="AI96" s="633" t="str">
        <f t="shared" si="49"/>
        <v/>
      </c>
      <c r="AJ96" s="632" t="str">
        <f t="shared" si="50"/>
        <v/>
      </c>
      <c r="AK96" s="636" t="str">
        <f t="shared" si="51"/>
        <v/>
      </c>
      <c r="AL96" s="637" t="str">
        <f t="shared" si="52"/>
        <v/>
      </c>
      <c r="AM96" s="633" t="str">
        <f t="shared" si="53"/>
        <v/>
      </c>
      <c r="AN96" s="38"/>
    </row>
    <row r="97" spans="1:40" ht="13.2" x14ac:dyDescent="0.25">
      <c r="A97" s="26"/>
      <c r="B97" s="38"/>
      <c r="C97" s="261" t="s">
        <v>209</v>
      </c>
      <c r="D97" s="644" t="str">
        <f>IF('WK2 - Notional General Income'!C44="","",'WK2 - Notional General Income'!C44)</f>
        <v/>
      </c>
      <c r="E97" s="635" t="str">
        <f>IF('WK2 - Notional General Income'!L44="","",'WK2 - Notional General Income'!L44/'WK2 - Notional General Income'!D44)</f>
        <v/>
      </c>
      <c r="F97" s="635" t="str">
        <f>IF('WK3 - Notional GI Yr1 YIELD'!L41="","",'WK3 - Notional GI Yr1 YIELD'!L41/'WK3 - Notional GI Yr1 YIELD'!D41)</f>
        <v/>
      </c>
      <c r="G97" s="472"/>
      <c r="H97" s="472"/>
      <c r="I97" s="472"/>
      <c r="J97" s="472"/>
      <c r="K97" s="472"/>
      <c r="L97" s="472"/>
      <c r="M97" s="38"/>
      <c r="N97" s="632" t="str">
        <f t="shared" si="28"/>
        <v/>
      </c>
      <c r="O97" s="633" t="str">
        <f t="shared" si="29"/>
        <v/>
      </c>
      <c r="P97" s="632" t="str">
        <f t="shared" si="30"/>
        <v/>
      </c>
      <c r="Q97" s="634" t="str">
        <f t="shared" si="31"/>
        <v/>
      </c>
      <c r="R97" s="635" t="str">
        <f t="shared" si="32"/>
        <v/>
      </c>
      <c r="S97" s="633" t="str">
        <f t="shared" si="33"/>
        <v/>
      </c>
      <c r="T97" s="632" t="str">
        <f t="shared" si="34"/>
        <v/>
      </c>
      <c r="U97" s="634" t="str">
        <f t="shared" si="35"/>
        <v/>
      </c>
      <c r="V97" s="635" t="str">
        <f t="shared" si="36"/>
        <v/>
      </c>
      <c r="W97" s="633" t="str">
        <f t="shared" si="37"/>
        <v/>
      </c>
      <c r="X97" s="632" t="str">
        <f t="shared" si="38"/>
        <v/>
      </c>
      <c r="Y97" s="634" t="str">
        <f t="shared" si="39"/>
        <v/>
      </c>
      <c r="Z97" s="635" t="str">
        <f t="shared" si="40"/>
        <v/>
      </c>
      <c r="AA97" s="633" t="str">
        <f t="shared" si="41"/>
        <v/>
      </c>
      <c r="AB97" s="632" t="str">
        <f t="shared" si="42"/>
        <v/>
      </c>
      <c r="AC97" s="634" t="str">
        <f t="shared" si="43"/>
        <v/>
      </c>
      <c r="AD97" s="635" t="str">
        <f t="shared" si="44"/>
        <v/>
      </c>
      <c r="AE97" s="633" t="str">
        <f t="shared" si="45"/>
        <v/>
      </c>
      <c r="AF97" s="632" t="str">
        <f t="shared" si="46"/>
        <v/>
      </c>
      <c r="AG97" s="634" t="str">
        <f t="shared" si="47"/>
        <v/>
      </c>
      <c r="AH97" s="635" t="str">
        <f t="shared" si="48"/>
        <v/>
      </c>
      <c r="AI97" s="633" t="str">
        <f t="shared" si="49"/>
        <v/>
      </c>
      <c r="AJ97" s="632" t="str">
        <f t="shared" si="50"/>
        <v/>
      </c>
      <c r="AK97" s="636" t="str">
        <f t="shared" si="51"/>
        <v/>
      </c>
      <c r="AL97" s="637" t="str">
        <f t="shared" si="52"/>
        <v/>
      </c>
      <c r="AM97" s="633" t="str">
        <f t="shared" si="53"/>
        <v/>
      </c>
      <c r="AN97" s="38"/>
    </row>
    <row r="98" spans="1:40" ht="13.2" x14ac:dyDescent="0.25">
      <c r="A98" s="26"/>
      <c r="B98" s="38"/>
      <c r="C98" s="261" t="s">
        <v>209</v>
      </c>
      <c r="D98" s="644" t="str">
        <f>IF('WK2 - Notional General Income'!C45="","",'WK2 - Notional General Income'!C45)</f>
        <v/>
      </c>
      <c r="E98" s="635" t="str">
        <f>IF('WK2 - Notional General Income'!L45="","",'WK2 - Notional General Income'!L45/'WK2 - Notional General Income'!D45)</f>
        <v/>
      </c>
      <c r="F98" s="635" t="str">
        <f>IF('WK3 - Notional GI Yr1 YIELD'!L42="","",'WK3 - Notional GI Yr1 YIELD'!L42/'WK3 - Notional GI Yr1 YIELD'!D42)</f>
        <v/>
      </c>
      <c r="G98" s="472"/>
      <c r="H98" s="472"/>
      <c r="I98" s="472"/>
      <c r="J98" s="472"/>
      <c r="K98" s="472"/>
      <c r="L98" s="472"/>
      <c r="M98" s="38"/>
      <c r="N98" s="632" t="str">
        <f t="shared" si="28"/>
        <v/>
      </c>
      <c r="O98" s="633" t="str">
        <f t="shared" si="29"/>
        <v/>
      </c>
      <c r="P98" s="632" t="str">
        <f t="shared" si="30"/>
        <v/>
      </c>
      <c r="Q98" s="634" t="str">
        <f t="shared" si="31"/>
        <v/>
      </c>
      <c r="R98" s="635" t="str">
        <f t="shared" si="32"/>
        <v/>
      </c>
      <c r="S98" s="633" t="str">
        <f t="shared" si="33"/>
        <v/>
      </c>
      <c r="T98" s="632" t="str">
        <f t="shared" si="34"/>
        <v/>
      </c>
      <c r="U98" s="634" t="str">
        <f t="shared" si="35"/>
        <v/>
      </c>
      <c r="V98" s="635" t="str">
        <f t="shared" si="36"/>
        <v/>
      </c>
      <c r="W98" s="633" t="str">
        <f t="shared" si="37"/>
        <v/>
      </c>
      <c r="X98" s="632" t="str">
        <f t="shared" si="38"/>
        <v/>
      </c>
      <c r="Y98" s="634" t="str">
        <f t="shared" si="39"/>
        <v/>
      </c>
      <c r="Z98" s="635" t="str">
        <f t="shared" si="40"/>
        <v/>
      </c>
      <c r="AA98" s="633" t="str">
        <f t="shared" si="41"/>
        <v/>
      </c>
      <c r="AB98" s="632" t="str">
        <f t="shared" si="42"/>
        <v/>
      </c>
      <c r="AC98" s="634" t="str">
        <f t="shared" si="43"/>
        <v/>
      </c>
      <c r="AD98" s="635" t="str">
        <f t="shared" si="44"/>
        <v/>
      </c>
      <c r="AE98" s="633" t="str">
        <f t="shared" si="45"/>
        <v/>
      </c>
      <c r="AF98" s="632" t="str">
        <f t="shared" si="46"/>
        <v/>
      </c>
      <c r="AG98" s="634" t="str">
        <f t="shared" si="47"/>
        <v/>
      </c>
      <c r="AH98" s="635" t="str">
        <f t="shared" si="48"/>
        <v/>
      </c>
      <c r="AI98" s="633" t="str">
        <f t="shared" si="49"/>
        <v/>
      </c>
      <c r="AJ98" s="632" t="str">
        <f t="shared" si="50"/>
        <v/>
      </c>
      <c r="AK98" s="636" t="str">
        <f t="shared" si="51"/>
        <v/>
      </c>
      <c r="AL98" s="637" t="str">
        <f t="shared" si="52"/>
        <v/>
      </c>
      <c r="AM98" s="633" t="str">
        <f t="shared" si="53"/>
        <v/>
      </c>
      <c r="AN98" s="38"/>
    </row>
    <row r="99" spans="1:40" ht="13.2" x14ac:dyDescent="0.25">
      <c r="A99" s="26"/>
      <c r="B99" s="38"/>
      <c r="C99" s="261" t="s">
        <v>209</v>
      </c>
      <c r="D99" s="644" t="str">
        <f>IF('WK2 - Notional General Income'!C46="","",'WK2 - Notional General Income'!C46)</f>
        <v/>
      </c>
      <c r="E99" s="635" t="str">
        <f>IF('WK2 - Notional General Income'!L46="","",'WK2 - Notional General Income'!L46/'WK2 - Notional General Income'!D46)</f>
        <v/>
      </c>
      <c r="F99" s="635" t="str">
        <f>IF('WK3 - Notional GI Yr1 YIELD'!L43="","",'WK3 - Notional GI Yr1 YIELD'!L43/'WK3 - Notional GI Yr1 YIELD'!D43)</f>
        <v/>
      </c>
      <c r="G99" s="472"/>
      <c r="H99" s="472"/>
      <c r="I99" s="472"/>
      <c r="J99" s="472"/>
      <c r="K99" s="472"/>
      <c r="L99" s="472"/>
      <c r="M99" s="38"/>
      <c r="N99" s="632" t="str">
        <f t="shared" si="28"/>
        <v/>
      </c>
      <c r="O99" s="633" t="str">
        <f t="shared" si="29"/>
        <v/>
      </c>
      <c r="P99" s="632" t="str">
        <f t="shared" si="30"/>
        <v/>
      </c>
      <c r="Q99" s="634" t="str">
        <f t="shared" si="31"/>
        <v/>
      </c>
      <c r="R99" s="635" t="str">
        <f t="shared" si="32"/>
        <v/>
      </c>
      <c r="S99" s="633" t="str">
        <f t="shared" si="33"/>
        <v/>
      </c>
      <c r="T99" s="632" t="str">
        <f t="shared" si="34"/>
        <v/>
      </c>
      <c r="U99" s="634" t="str">
        <f t="shared" si="35"/>
        <v/>
      </c>
      <c r="V99" s="635" t="str">
        <f t="shared" si="36"/>
        <v/>
      </c>
      <c r="W99" s="633" t="str">
        <f t="shared" si="37"/>
        <v/>
      </c>
      <c r="X99" s="632" t="str">
        <f t="shared" si="38"/>
        <v/>
      </c>
      <c r="Y99" s="634" t="str">
        <f t="shared" si="39"/>
        <v/>
      </c>
      <c r="Z99" s="635" t="str">
        <f t="shared" si="40"/>
        <v/>
      </c>
      <c r="AA99" s="633" t="str">
        <f t="shared" si="41"/>
        <v/>
      </c>
      <c r="AB99" s="632" t="str">
        <f t="shared" si="42"/>
        <v/>
      </c>
      <c r="AC99" s="634" t="str">
        <f t="shared" si="43"/>
        <v/>
      </c>
      <c r="AD99" s="635" t="str">
        <f t="shared" si="44"/>
        <v/>
      </c>
      <c r="AE99" s="633" t="str">
        <f t="shared" si="45"/>
        <v/>
      </c>
      <c r="AF99" s="632" t="str">
        <f t="shared" si="46"/>
        <v/>
      </c>
      <c r="AG99" s="634" t="str">
        <f t="shared" si="47"/>
        <v/>
      </c>
      <c r="AH99" s="635" t="str">
        <f t="shared" si="48"/>
        <v/>
      </c>
      <c r="AI99" s="633" t="str">
        <f t="shared" si="49"/>
        <v/>
      </c>
      <c r="AJ99" s="632" t="str">
        <f t="shared" si="50"/>
        <v/>
      </c>
      <c r="AK99" s="636" t="str">
        <f t="shared" si="51"/>
        <v/>
      </c>
      <c r="AL99" s="637" t="str">
        <f t="shared" si="52"/>
        <v/>
      </c>
      <c r="AM99" s="633" t="str">
        <f t="shared" si="53"/>
        <v/>
      </c>
      <c r="AN99" s="38"/>
    </row>
    <row r="100" spans="1:40" ht="13.2" x14ac:dyDescent="0.25">
      <c r="A100" s="26"/>
      <c r="B100" s="38"/>
      <c r="C100" s="261" t="s">
        <v>209</v>
      </c>
      <c r="D100" s="644" t="str">
        <f>IF('WK2 - Notional General Income'!C47="","",'WK2 - Notional General Income'!C47)</f>
        <v/>
      </c>
      <c r="E100" s="635" t="str">
        <f>IF('WK2 - Notional General Income'!L47="","",'WK2 - Notional General Income'!L47/'WK2 - Notional General Income'!D47)</f>
        <v/>
      </c>
      <c r="F100" s="635" t="str">
        <f>IF('WK3 - Notional GI Yr1 YIELD'!L44="","",'WK3 - Notional GI Yr1 YIELD'!L44/'WK3 - Notional GI Yr1 YIELD'!D44)</f>
        <v/>
      </c>
      <c r="G100" s="472"/>
      <c r="H100" s="472"/>
      <c r="I100" s="472"/>
      <c r="J100" s="472"/>
      <c r="K100" s="472"/>
      <c r="L100" s="472"/>
      <c r="M100" s="38"/>
      <c r="N100" s="632" t="str">
        <f t="shared" si="28"/>
        <v/>
      </c>
      <c r="O100" s="633" t="str">
        <f t="shared" si="29"/>
        <v/>
      </c>
      <c r="P100" s="632" t="str">
        <f t="shared" si="30"/>
        <v/>
      </c>
      <c r="Q100" s="634" t="str">
        <f t="shared" si="31"/>
        <v/>
      </c>
      <c r="R100" s="635" t="str">
        <f t="shared" si="32"/>
        <v/>
      </c>
      <c r="S100" s="633" t="str">
        <f t="shared" si="33"/>
        <v/>
      </c>
      <c r="T100" s="632" t="str">
        <f t="shared" si="34"/>
        <v/>
      </c>
      <c r="U100" s="634" t="str">
        <f t="shared" si="35"/>
        <v/>
      </c>
      <c r="V100" s="635" t="str">
        <f t="shared" si="36"/>
        <v/>
      </c>
      <c r="W100" s="633" t="str">
        <f t="shared" si="37"/>
        <v/>
      </c>
      <c r="X100" s="632" t="str">
        <f t="shared" si="38"/>
        <v/>
      </c>
      <c r="Y100" s="634" t="str">
        <f t="shared" si="39"/>
        <v/>
      </c>
      <c r="Z100" s="635" t="str">
        <f t="shared" si="40"/>
        <v/>
      </c>
      <c r="AA100" s="633" t="str">
        <f t="shared" si="41"/>
        <v/>
      </c>
      <c r="AB100" s="632" t="str">
        <f t="shared" si="42"/>
        <v/>
      </c>
      <c r="AC100" s="634" t="str">
        <f t="shared" si="43"/>
        <v/>
      </c>
      <c r="AD100" s="635" t="str">
        <f t="shared" si="44"/>
        <v/>
      </c>
      <c r="AE100" s="633" t="str">
        <f t="shared" si="45"/>
        <v/>
      </c>
      <c r="AF100" s="632" t="str">
        <f t="shared" si="46"/>
        <v/>
      </c>
      <c r="AG100" s="634" t="str">
        <f t="shared" si="47"/>
        <v/>
      </c>
      <c r="AH100" s="635" t="str">
        <f t="shared" si="48"/>
        <v/>
      </c>
      <c r="AI100" s="633" t="str">
        <f t="shared" si="49"/>
        <v/>
      </c>
      <c r="AJ100" s="632" t="str">
        <f t="shared" si="50"/>
        <v/>
      </c>
      <c r="AK100" s="636" t="str">
        <f t="shared" si="51"/>
        <v/>
      </c>
      <c r="AL100" s="637" t="str">
        <f t="shared" si="52"/>
        <v/>
      </c>
      <c r="AM100" s="633" t="str">
        <f t="shared" si="53"/>
        <v/>
      </c>
      <c r="AN100" s="38"/>
    </row>
    <row r="101" spans="1:40" ht="13.2" x14ac:dyDescent="0.25">
      <c r="A101" s="26"/>
      <c r="B101" s="38"/>
      <c r="C101" s="261" t="s">
        <v>209</v>
      </c>
      <c r="D101" s="644" t="str">
        <f>IF('WK2 - Notional General Income'!C48="","",'WK2 - Notional General Income'!C48)</f>
        <v/>
      </c>
      <c r="E101" s="635" t="str">
        <f>IF('WK2 - Notional General Income'!L48="","",'WK2 - Notional General Income'!L48/'WK2 - Notional General Income'!D48)</f>
        <v/>
      </c>
      <c r="F101" s="635" t="str">
        <f>IF('WK3 - Notional GI Yr1 YIELD'!L45="","",'WK3 - Notional GI Yr1 YIELD'!L45/'WK3 - Notional GI Yr1 YIELD'!D45)</f>
        <v/>
      </c>
      <c r="G101" s="472"/>
      <c r="H101" s="472"/>
      <c r="I101" s="472"/>
      <c r="J101" s="472"/>
      <c r="K101" s="472"/>
      <c r="L101" s="472"/>
      <c r="M101" s="38"/>
      <c r="N101" s="632" t="str">
        <f t="shared" si="28"/>
        <v/>
      </c>
      <c r="O101" s="633" t="str">
        <f t="shared" si="29"/>
        <v/>
      </c>
      <c r="P101" s="632" t="str">
        <f t="shared" si="30"/>
        <v/>
      </c>
      <c r="Q101" s="634" t="str">
        <f t="shared" si="31"/>
        <v/>
      </c>
      <c r="R101" s="635" t="str">
        <f t="shared" si="32"/>
        <v/>
      </c>
      <c r="S101" s="633" t="str">
        <f t="shared" si="33"/>
        <v/>
      </c>
      <c r="T101" s="632" t="str">
        <f t="shared" si="34"/>
        <v/>
      </c>
      <c r="U101" s="634" t="str">
        <f t="shared" si="35"/>
        <v/>
      </c>
      <c r="V101" s="635" t="str">
        <f t="shared" si="36"/>
        <v/>
      </c>
      <c r="W101" s="633" t="str">
        <f t="shared" si="37"/>
        <v/>
      </c>
      <c r="X101" s="632" t="str">
        <f t="shared" si="38"/>
        <v/>
      </c>
      <c r="Y101" s="634" t="str">
        <f t="shared" si="39"/>
        <v/>
      </c>
      <c r="Z101" s="635" t="str">
        <f t="shared" si="40"/>
        <v/>
      </c>
      <c r="AA101" s="633" t="str">
        <f t="shared" si="41"/>
        <v/>
      </c>
      <c r="AB101" s="632" t="str">
        <f t="shared" si="42"/>
        <v/>
      </c>
      <c r="AC101" s="634" t="str">
        <f t="shared" si="43"/>
        <v/>
      </c>
      <c r="AD101" s="635" t="str">
        <f t="shared" si="44"/>
        <v/>
      </c>
      <c r="AE101" s="633" t="str">
        <f t="shared" si="45"/>
        <v/>
      </c>
      <c r="AF101" s="632" t="str">
        <f t="shared" si="46"/>
        <v/>
      </c>
      <c r="AG101" s="634" t="str">
        <f t="shared" si="47"/>
        <v/>
      </c>
      <c r="AH101" s="635" t="str">
        <f t="shared" si="48"/>
        <v/>
      </c>
      <c r="AI101" s="633" t="str">
        <f t="shared" si="49"/>
        <v/>
      </c>
      <c r="AJ101" s="632" t="str">
        <f t="shared" si="50"/>
        <v/>
      </c>
      <c r="AK101" s="636" t="str">
        <f t="shared" si="51"/>
        <v/>
      </c>
      <c r="AL101" s="637" t="str">
        <f t="shared" si="52"/>
        <v/>
      </c>
      <c r="AM101" s="633" t="str">
        <f t="shared" si="53"/>
        <v/>
      </c>
      <c r="AN101" s="38"/>
    </row>
    <row r="102" spans="1:40" ht="13.2" x14ac:dyDescent="0.25">
      <c r="A102" s="26"/>
      <c r="B102" s="38"/>
      <c r="C102" s="261" t="s">
        <v>209</v>
      </c>
      <c r="D102" s="644" t="str">
        <f>IF('WK2 - Notional General Income'!C49="","",'WK2 - Notional General Income'!C49)</f>
        <v/>
      </c>
      <c r="E102" s="635" t="str">
        <f>IF('WK2 - Notional General Income'!L49="","",'WK2 - Notional General Income'!L49/'WK2 - Notional General Income'!D49)</f>
        <v/>
      </c>
      <c r="F102" s="635" t="str">
        <f>IF('WK3 - Notional GI Yr1 YIELD'!L46="","",'WK3 - Notional GI Yr1 YIELD'!L46/'WK3 - Notional GI Yr1 YIELD'!D46)</f>
        <v/>
      </c>
      <c r="G102" s="472"/>
      <c r="H102" s="472"/>
      <c r="I102" s="472"/>
      <c r="J102" s="472"/>
      <c r="K102" s="472"/>
      <c r="L102" s="472"/>
      <c r="M102" s="38"/>
      <c r="N102" s="632" t="str">
        <f t="shared" si="28"/>
        <v/>
      </c>
      <c r="O102" s="633" t="str">
        <f t="shared" si="29"/>
        <v/>
      </c>
      <c r="P102" s="632" t="str">
        <f t="shared" si="30"/>
        <v/>
      </c>
      <c r="Q102" s="634" t="str">
        <f t="shared" si="31"/>
        <v/>
      </c>
      <c r="R102" s="635" t="str">
        <f t="shared" si="32"/>
        <v/>
      </c>
      <c r="S102" s="633" t="str">
        <f t="shared" si="33"/>
        <v/>
      </c>
      <c r="T102" s="632" t="str">
        <f t="shared" si="34"/>
        <v/>
      </c>
      <c r="U102" s="634" t="str">
        <f t="shared" si="35"/>
        <v/>
      </c>
      <c r="V102" s="635" t="str">
        <f t="shared" si="36"/>
        <v/>
      </c>
      <c r="W102" s="633" t="str">
        <f t="shared" si="37"/>
        <v/>
      </c>
      <c r="X102" s="632" t="str">
        <f t="shared" si="38"/>
        <v/>
      </c>
      <c r="Y102" s="634" t="str">
        <f t="shared" si="39"/>
        <v/>
      </c>
      <c r="Z102" s="635" t="str">
        <f t="shared" si="40"/>
        <v/>
      </c>
      <c r="AA102" s="633" t="str">
        <f t="shared" si="41"/>
        <v/>
      </c>
      <c r="AB102" s="632" t="str">
        <f t="shared" si="42"/>
        <v/>
      </c>
      <c r="AC102" s="634" t="str">
        <f t="shared" si="43"/>
        <v/>
      </c>
      <c r="AD102" s="635" t="str">
        <f t="shared" si="44"/>
        <v/>
      </c>
      <c r="AE102" s="633" t="str">
        <f t="shared" si="45"/>
        <v/>
      </c>
      <c r="AF102" s="632" t="str">
        <f t="shared" si="46"/>
        <v/>
      </c>
      <c r="AG102" s="634" t="str">
        <f t="shared" si="47"/>
        <v/>
      </c>
      <c r="AH102" s="635" t="str">
        <f t="shared" si="48"/>
        <v/>
      </c>
      <c r="AI102" s="633" t="str">
        <f t="shared" si="49"/>
        <v/>
      </c>
      <c r="AJ102" s="632" t="str">
        <f t="shared" si="50"/>
        <v/>
      </c>
      <c r="AK102" s="636" t="str">
        <f t="shared" si="51"/>
        <v/>
      </c>
      <c r="AL102" s="637" t="str">
        <f t="shared" si="52"/>
        <v/>
      </c>
      <c r="AM102" s="633" t="str">
        <f t="shared" si="53"/>
        <v/>
      </c>
      <c r="AN102" s="38"/>
    </row>
    <row r="103" spans="1:40" ht="13.2" x14ac:dyDescent="0.25">
      <c r="A103" s="26"/>
      <c r="B103" s="38"/>
      <c r="C103" s="261" t="s">
        <v>209</v>
      </c>
      <c r="D103" s="644" t="str">
        <f>IF('WK2 - Notional General Income'!C50="","",'WK2 - Notional General Income'!C50)</f>
        <v/>
      </c>
      <c r="E103" s="635" t="str">
        <f>IF('WK2 - Notional General Income'!L50="","",'WK2 - Notional General Income'!L50/'WK2 - Notional General Income'!D50)</f>
        <v/>
      </c>
      <c r="F103" s="635" t="str">
        <f>IF('WK3 - Notional GI Yr1 YIELD'!L47="","",'WK3 - Notional GI Yr1 YIELD'!L47/'WK3 - Notional GI Yr1 YIELD'!D47)</f>
        <v/>
      </c>
      <c r="G103" s="472"/>
      <c r="H103" s="472"/>
      <c r="I103" s="472"/>
      <c r="J103" s="472"/>
      <c r="K103" s="472"/>
      <c r="L103" s="472"/>
      <c r="M103" s="38"/>
      <c r="N103" s="632" t="str">
        <f t="shared" si="28"/>
        <v/>
      </c>
      <c r="O103" s="633" t="str">
        <f t="shared" si="29"/>
        <v/>
      </c>
      <c r="P103" s="632" t="str">
        <f t="shared" si="30"/>
        <v/>
      </c>
      <c r="Q103" s="634" t="str">
        <f t="shared" si="31"/>
        <v/>
      </c>
      <c r="R103" s="635" t="str">
        <f t="shared" si="32"/>
        <v/>
      </c>
      <c r="S103" s="633" t="str">
        <f t="shared" si="33"/>
        <v/>
      </c>
      <c r="T103" s="632" t="str">
        <f t="shared" si="34"/>
        <v/>
      </c>
      <c r="U103" s="634" t="str">
        <f t="shared" si="35"/>
        <v/>
      </c>
      <c r="V103" s="635" t="str">
        <f t="shared" si="36"/>
        <v/>
      </c>
      <c r="W103" s="633" t="str">
        <f t="shared" si="37"/>
        <v/>
      </c>
      <c r="X103" s="632" t="str">
        <f t="shared" si="38"/>
        <v/>
      </c>
      <c r="Y103" s="634" t="str">
        <f t="shared" si="39"/>
        <v/>
      </c>
      <c r="Z103" s="635" t="str">
        <f t="shared" si="40"/>
        <v/>
      </c>
      <c r="AA103" s="633" t="str">
        <f t="shared" si="41"/>
        <v/>
      </c>
      <c r="AB103" s="632" t="str">
        <f t="shared" si="42"/>
        <v/>
      </c>
      <c r="AC103" s="634" t="str">
        <f t="shared" si="43"/>
        <v/>
      </c>
      <c r="AD103" s="635" t="str">
        <f t="shared" si="44"/>
        <v/>
      </c>
      <c r="AE103" s="633" t="str">
        <f t="shared" si="45"/>
        <v/>
      </c>
      <c r="AF103" s="632" t="str">
        <f t="shared" si="46"/>
        <v/>
      </c>
      <c r="AG103" s="634" t="str">
        <f t="shared" si="47"/>
        <v/>
      </c>
      <c r="AH103" s="635" t="str">
        <f t="shared" si="48"/>
        <v/>
      </c>
      <c r="AI103" s="633" t="str">
        <f t="shared" si="49"/>
        <v/>
      </c>
      <c r="AJ103" s="632" t="str">
        <f t="shared" si="50"/>
        <v/>
      </c>
      <c r="AK103" s="636" t="str">
        <f t="shared" si="51"/>
        <v/>
      </c>
      <c r="AL103" s="637" t="str">
        <f t="shared" si="52"/>
        <v/>
      </c>
      <c r="AM103" s="633" t="str">
        <f t="shared" si="53"/>
        <v/>
      </c>
      <c r="AN103" s="38"/>
    </row>
    <row r="104" spans="1:40" ht="13.2" x14ac:dyDescent="0.25">
      <c r="A104" s="26"/>
      <c r="B104" s="38"/>
      <c r="C104" s="261" t="s">
        <v>209</v>
      </c>
      <c r="D104" s="644" t="str">
        <f>IF('WK2 - Notional General Income'!C51="","",'WK2 - Notional General Income'!C51)</f>
        <v/>
      </c>
      <c r="E104" s="635" t="str">
        <f>IF('WK2 - Notional General Income'!L51="","",'WK2 - Notional General Income'!L51/'WK2 - Notional General Income'!D51)</f>
        <v/>
      </c>
      <c r="F104" s="635" t="str">
        <f>IF('WK3 - Notional GI Yr1 YIELD'!L48="","",'WK3 - Notional GI Yr1 YIELD'!L48/'WK3 - Notional GI Yr1 YIELD'!D48)</f>
        <v/>
      </c>
      <c r="G104" s="472"/>
      <c r="H104" s="472"/>
      <c r="I104" s="472"/>
      <c r="J104" s="472"/>
      <c r="K104" s="472"/>
      <c r="L104" s="472"/>
      <c r="M104" s="38"/>
      <c r="N104" s="632" t="str">
        <f t="shared" si="28"/>
        <v/>
      </c>
      <c r="O104" s="633" t="str">
        <f t="shared" si="29"/>
        <v/>
      </c>
      <c r="P104" s="632" t="str">
        <f t="shared" si="30"/>
        <v/>
      </c>
      <c r="Q104" s="634" t="str">
        <f t="shared" si="31"/>
        <v/>
      </c>
      <c r="R104" s="635" t="str">
        <f t="shared" si="32"/>
        <v/>
      </c>
      <c r="S104" s="633" t="str">
        <f t="shared" si="33"/>
        <v/>
      </c>
      <c r="T104" s="632" t="str">
        <f t="shared" si="34"/>
        <v/>
      </c>
      <c r="U104" s="634" t="str">
        <f t="shared" si="35"/>
        <v/>
      </c>
      <c r="V104" s="635" t="str">
        <f t="shared" si="36"/>
        <v/>
      </c>
      <c r="W104" s="633" t="str">
        <f t="shared" si="37"/>
        <v/>
      </c>
      <c r="X104" s="632" t="str">
        <f t="shared" si="38"/>
        <v/>
      </c>
      <c r="Y104" s="634" t="str">
        <f t="shared" si="39"/>
        <v/>
      </c>
      <c r="Z104" s="635" t="str">
        <f t="shared" si="40"/>
        <v/>
      </c>
      <c r="AA104" s="633" t="str">
        <f t="shared" si="41"/>
        <v/>
      </c>
      <c r="AB104" s="632" t="str">
        <f t="shared" si="42"/>
        <v/>
      </c>
      <c r="AC104" s="634" t="str">
        <f t="shared" si="43"/>
        <v/>
      </c>
      <c r="AD104" s="635" t="str">
        <f t="shared" si="44"/>
        <v/>
      </c>
      <c r="AE104" s="633" t="str">
        <f t="shared" si="45"/>
        <v/>
      </c>
      <c r="AF104" s="632" t="str">
        <f t="shared" si="46"/>
        <v/>
      </c>
      <c r="AG104" s="634" t="str">
        <f t="shared" si="47"/>
        <v/>
      </c>
      <c r="AH104" s="635" t="str">
        <f t="shared" si="48"/>
        <v/>
      </c>
      <c r="AI104" s="633" t="str">
        <f t="shared" si="49"/>
        <v/>
      </c>
      <c r="AJ104" s="632" t="str">
        <f t="shared" si="50"/>
        <v/>
      </c>
      <c r="AK104" s="636" t="str">
        <f t="shared" si="51"/>
        <v/>
      </c>
      <c r="AL104" s="637" t="str">
        <f t="shared" si="52"/>
        <v/>
      </c>
      <c r="AM104" s="633" t="str">
        <f t="shared" si="53"/>
        <v/>
      </c>
      <c r="AN104" s="38"/>
    </row>
    <row r="105" spans="1:40" ht="13.2" x14ac:dyDescent="0.25">
      <c r="A105" s="26"/>
      <c r="B105" s="38"/>
      <c r="C105" s="261" t="s">
        <v>209</v>
      </c>
      <c r="D105" s="644" t="str">
        <f>IF('WK2 - Notional General Income'!C52="","",'WK2 - Notional General Income'!C52)</f>
        <v/>
      </c>
      <c r="E105" s="635" t="str">
        <f>IF('WK2 - Notional General Income'!L52="","",'WK2 - Notional General Income'!L52/'WK2 - Notional General Income'!D52)</f>
        <v/>
      </c>
      <c r="F105" s="635" t="str">
        <f>IF('WK3 - Notional GI Yr1 YIELD'!L49="","",'WK3 - Notional GI Yr1 YIELD'!L49/'WK3 - Notional GI Yr1 YIELD'!D49)</f>
        <v/>
      </c>
      <c r="G105" s="472"/>
      <c r="H105" s="472"/>
      <c r="I105" s="472"/>
      <c r="J105" s="472"/>
      <c r="K105" s="472"/>
      <c r="L105" s="472"/>
      <c r="M105" s="38"/>
      <c r="N105" s="632" t="str">
        <f t="shared" si="28"/>
        <v/>
      </c>
      <c r="O105" s="633" t="str">
        <f t="shared" si="29"/>
        <v/>
      </c>
      <c r="P105" s="632" t="str">
        <f t="shared" si="30"/>
        <v/>
      </c>
      <c r="Q105" s="634" t="str">
        <f t="shared" si="31"/>
        <v/>
      </c>
      <c r="R105" s="635" t="str">
        <f t="shared" si="32"/>
        <v/>
      </c>
      <c r="S105" s="633" t="str">
        <f t="shared" si="33"/>
        <v/>
      </c>
      <c r="T105" s="632" t="str">
        <f t="shared" si="34"/>
        <v/>
      </c>
      <c r="U105" s="634" t="str">
        <f t="shared" si="35"/>
        <v/>
      </c>
      <c r="V105" s="635" t="str">
        <f t="shared" si="36"/>
        <v/>
      </c>
      <c r="W105" s="633" t="str">
        <f t="shared" si="37"/>
        <v/>
      </c>
      <c r="X105" s="632" t="str">
        <f t="shared" si="38"/>
        <v/>
      </c>
      <c r="Y105" s="634" t="str">
        <f t="shared" si="39"/>
        <v/>
      </c>
      <c r="Z105" s="635" t="str">
        <f t="shared" si="40"/>
        <v/>
      </c>
      <c r="AA105" s="633" t="str">
        <f t="shared" si="41"/>
        <v/>
      </c>
      <c r="AB105" s="632" t="str">
        <f t="shared" si="42"/>
        <v/>
      </c>
      <c r="AC105" s="634" t="str">
        <f t="shared" si="43"/>
        <v/>
      </c>
      <c r="AD105" s="635" t="str">
        <f t="shared" si="44"/>
        <v/>
      </c>
      <c r="AE105" s="633" t="str">
        <f t="shared" si="45"/>
        <v/>
      </c>
      <c r="AF105" s="632" t="str">
        <f t="shared" si="46"/>
        <v/>
      </c>
      <c r="AG105" s="634" t="str">
        <f t="shared" si="47"/>
        <v/>
      </c>
      <c r="AH105" s="635" t="str">
        <f t="shared" si="48"/>
        <v/>
      </c>
      <c r="AI105" s="633" t="str">
        <f t="shared" si="49"/>
        <v/>
      </c>
      <c r="AJ105" s="632" t="str">
        <f t="shared" si="50"/>
        <v/>
      </c>
      <c r="AK105" s="636" t="str">
        <f t="shared" si="51"/>
        <v/>
      </c>
      <c r="AL105" s="637" t="str">
        <f t="shared" si="52"/>
        <v/>
      </c>
      <c r="AM105" s="633" t="str">
        <f t="shared" si="53"/>
        <v/>
      </c>
      <c r="AN105" s="38"/>
    </row>
    <row r="106" spans="1:40" ht="13.2" x14ac:dyDescent="0.25">
      <c r="A106" s="26"/>
      <c r="B106" s="38"/>
      <c r="C106" s="261" t="s">
        <v>209</v>
      </c>
      <c r="D106" s="644" t="str">
        <f>IF('WK2 - Notional General Income'!C53="","",'WK2 - Notional General Income'!C53)</f>
        <v/>
      </c>
      <c r="E106" s="635" t="str">
        <f>IF('WK2 - Notional General Income'!L53="","",'WK2 - Notional General Income'!L53/'WK2 - Notional General Income'!D53)</f>
        <v/>
      </c>
      <c r="F106" s="635" t="str">
        <f>IF('WK3 - Notional GI Yr1 YIELD'!L50="","",'WK3 - Notional GI Yr1 YIELD'!L50/'WK3 - Notional GI Yr1 YIELD'!D50)</f>
        <v/>
      </c>
      <c r="G106" s="472"/>
      <c r="H106" s="472"/>
      <c r="I106" s="472"/>
      <c r="J106" s="472"/>
      <c r="K106" s="472"/>
      <c r="L106" s="472"/>
      <c r="M106" s="38"/>
      <c r="N106" s="632" t="str">
        <f t="shared" si="28"/>
        <v/>
      </c>
      <c r="O106" s="633" t="str">
        <f t="shared" si="29"/>
        <v/>
      </c>
      <c r="P106" s="632" t="str">
        <f t="shared" si="30"/>
        <v/>
      </c>
      <c r="Q106" s="634" t="str">
        <f t="shared" si="31"/>
        <v/>
      </c>
      <c r="R106" s="635" t="str">
        <f t="shared" si="32"/>
        <v/>
      </c>
      <c r="S106" s="633" t="str">
        <f t="shared" si="33"/>
        <v/>
      </c>
      <c r="T106" s="632" t="str">
        <f t="shared" si="34"/>
        <v/>
      </c>
      <c r="U106" s="634" t="str">
        <f t="shared" si="35"/>
        <v/>
      </c>
      <c r="V106" s="635" t="str">
        <f t="shared" si="36"/>
        <v/>
      </c>
      <c r="W106" s="633" t="str">
        <f t="shared" si="37"/>
        <v/>
      </c>
      <c r="X106" s="632" t="str">
        <f t="shared" si="38"/>
        <v/>
      </c>
      <c r="Y106" s="634" t="str">
        <f t="shared" si="39"/>
        <v/>
      </c>
      <c r="Z106" s="635" t="str">
        <f t="shared" si="40"/>
        <v/>
      </c>
      <c r="AA106" s="633" t="str">
        <f t="shared" si="41"/>
        <v/>
      </c>
      <c r="AB106" s="632" t="str">
        <f t="shared" si="42"/>
        <v/>
      </c>
      <c r="AC106" s="634" t="str">
        <f t="shared" si="43"/>
        <v/>
      </c>
      <c r="AD106" s="635" t="str">
        <f t="shared" si="44"/>
        <v/>
      </c>
      <c r="AE106" s="633" t="str">
        <f t="shared" si="45"/>
        <v/>
      </c>
      <c r="AF106" s="632" t="str">
        <f t="shared" si="46"/>
        <v/>
      </c>
      <c r="AG106" s="634" t="str">
        <f t="shared" si="47"/>
        <v/>
      </c>
      <c r="AH106" s="635" t="str">
        <f t="shared" si="48"/>
        <v/>
      </c>
      <c r="AI106" s="633" t="str">
        <f t="shared" si="49"/>
        <v/>
      </c>
      <c r="AJ106" s="632" t="str">
        <f t="shared" si="50"/>
        <v/>
      </c>
      <c r="AK106" s="636" t="str">
        <f t="shared" si="51"/>
        <v/>
      </c>
      <c r="AL106" s="637" t="str">
        <f t="shared" si="52"/>
        <v/>
      </c>
      <c r="AM106" s="633" t="str">
        <f t="shared" si="53"/>
        <v/>
      </c>
      <c r="AN106" s="38"/>
    </row>
    <row r="107" spans="1:40" ht="13.2" x14ac:dyDescent="0.25">
      <c r="A107" s="26"/>
      <c r="B107" s="38"/>
      <c r="C107" s="261" t="s">
        <v>209</v>
      </c>
      <c r="D107" s="644" t="str">
        <f>IF('WK2 - Notional General Income'!C54="","",'WK2 - Notional General Income'!C54)</f>
        <v/>
      </c>
      <c r="E107" s="635" t="str">
        <f>IF('WK2 - Notional General Income'!L54="","",'WK2 - Notional General Income'!L54/'WK2 - Notional General Income'!D54)</f>
        <v/>
      </c>
      <c r="F107" s="635" t="str">
        <f>IF('WK3 - Notional GI Yr1 YIELD'!L51="","",'WK3 - Notional GI Yr1 YIELD'!L51/'WK3 - Notional GI Yr1 YIELD'!D51)</f>
        <v/>
      </c>
      <c r="G107" s="472"/>
      <c r="H107" s="472"/>
      <c r="I107" s="472"/>
      <c r="J107" s="472"/>
      <c r="K107" s="472"/>
      <c r="L107" s="472"/>
      <c r="M107" s="38"/>
      <c r="N107" s="632" t="str">
        <f t="shared" si="28"/>
        <v/>
      </c>
      <c r="O107" s="633" t="str">
        <f t="shared" si="29"/>
        <v/>
      </c>
      <c r="P107" s="632" t="str">
        <f t="shared" si="30"/>
        <v/>
      </c>
      <c r="Q107" s="634" t="str">
        <f t="shared" si="31"/>
        <v/>
      </c>
      <c r="R107" s="635" t="str">
        <f t="shared" si="32"/>
        <v/>
      </c>
      <c r="S107" s="633" t="str">
        <f t="shared" si="33"/>
        <v/>
      </c>
      <c r="T107" s="632" t="str">
        <f t="shared" si="34"/>
        <v/>
      </c>
      <c r="U107" s="634" t="str">
        <f t="shared" si="35"/>
        <v/>
      </c>
      <c r="V107" s="635" t="str">
        <f t="shared" si="36"/>
        <v/>
      </c>
      <c r="W107" s="633" t="str">
        <f t="shared" si="37"/>
        <v/>
      </c>
      <c r="X107" s="632" t="str">
        <f t="shared" si="38"/>
        <v/>
      </c>
      <c r="Y107" s="634" t="str">
        <f t="shared" si="39"/>
        <v/>
      </c>
      <c r="Z107" s="635" t="str">
        <f t="shared" si="40"/>
        <v/>
      </c>
      <c r="AA107" s="633" t="str">
        <f t="shared" si="41"/>
        <v/>
      </c>
      <c r="AB107" s="632" t="str">
        <f t="shared" si="42"/>
        <v/>
      </c>
      <c r="AC107" s="634" t="str">
        <f t="shared" si="43"/>
        <v/>
      </c>
      <c r="AD107" s="635" t="str">
        <f t="shared" si="44"/>
        <v/>
      </c>
      <c r="AE107" s="633" t="str">
        <f t="shared" si="45"/>
        <v/>
      </c>
      <c r="AF107" s="632" t="str">
        <f t="shared" si="46"/>
        <v/>
      </c>
      <c r="AG107" s="634" t="str">
        <f t="shared" si="47"/>
        <v/>
      </c>
      <c r="AH107" s="635" t="str">
        <f t="shared" si="48"/>
        <v/>
      </c>
      <c r="AI107" s="633" t="str">
        <f t="shared" si="49"/>
        <v/>
      </c>
      <c r="AJ107" s="632" t="str">
        <f t="shared" si="50"/>
        <v/>
      </c>
      <c r="AK107" s="636" t="str">
        <f t="shared" si="51"/>
        <v/>
      </c>
      <c r="AL107" s="637" t="str">
        <f t="shared" si="52"/>
        <v/>
      </c>
      <c r="AM107" s="633" t="str">
        <f t="shared" si="53"/>
        <v/>
      </c>
      <c r="AN107" s="38"/>
    </row>
    <row r="108" spans="1:40" ht="13.2" x14ac:dyDescent="0.25">
      <c r="A108" s="26"/>
      <c r="B108" s="38"/>
      <c r="C108" s="261" t="s">
        <v>209</v>
      </c>
      <c r="D108" s="644" t="str">
        <f>IF('WK2 - Notional General Income'!C55="","",'WK2 - Notional General Income'!C55)</f>
        <v/>
      </c>
      <c r="E108" s="635" t="str">
        <f>IF('WK2 - Notional General Income'!L55="","",'WK2 - Notional General Income'!L55/'WK2 - Notional General Income'!D55)</f>
        <v/>
      </c>
      <c r="F108" s="635" t="str">
        <f>IF('WK3 - Notional GI Yr1 YIELD'!L52="","",'WK3 - Notional GI Yr1 YIELD'!L52/'WK3 - Notional GI Yr1 YIELD'!D52)</f>
        <v/>
      </c>
      <c r="G108" s="472"/>
      <c r="H108" s="472"/>
      <c r="I108" s="472"/>
      <c r="J108" s="472"/>
      <c r="K108" s="472"/>
      <c r="L108" s="472"/>
      <c r="M108" s="38"/>
      <c r="N108" s="632" t="str">
        <f t="shared" si="28"/>
        <v/>
      </c>
      <c r="O108" s="633" t="str">
        <f t="shared" si="29"/>
        <v/>
      </c>
      <c r="P108" s="632" t="str">
        <f t="shared" si="30"/>
        <v/>
      </c>
      <c r="Q108" s="634" t="str">
        <f t="shared" si="31"/>
        <v/>
      </c>
      <c r="R108" s="635" t="str">
        <f t="shared" si="32"/>
        <v/>
      </c>
      <c r="S108" s="633" t="str">
        <f t="shared" si="33"/>
        <v/>
      </c>
      <c r="T108" s="632" t="str">
        <f t="shared" si="34"/>
        <v/>
      </c>
      <c r="U108" s="634" t="str">
        <f t="shared" si="35"/>
        <v/>
      </c>
      <c r="V108" s="635" t="str">
        <f t="shared" si="36"/>
        <v/>
      </c>
      <c r="W108" s="633" t="str">
        <f t="shared" si="37"/>
        <v/>
      </c>
      <c r="X108" s="632" t="str">
        <f t="shared" si="38"/>
        <v/>
      </c>
      <c r="Y108" s="634" t="str">
        <f t="shared" si="39"/>
        <v/>
      </c>
      <c r="Z108" s="635" t="str">
        <f t="shared" si="40"/>
        <v/>
      </c>
      <c r="AA108" s="633" t="str">
        <f t="shared" si="41"/>
        <v/>
      </c>
      <c r="AB108" s="632" t="str">
        <f t="shared" si="42"/>
        <v/>
      </c>
      <c r="AC108" s="634" t="str">
        <f t="shared" si="43"/>
        <v/>
      </c>
      <c r="AD108" s="635" t="str">
        <f t="shared" si="44"/>
        <v/>
      </c>
      <c r="AE108" s="633" t="str">
        <f t="shared" si="45"/>
        <v/>
      </c>
      <c r="AF108" s="632" t="str">
        <f t="shared" si="46"/>
        <v/>
      </c>
      <c r="AG108" s="634" t="str">
        <f t="shared" si="47"/>
        <v/>
      </c>
      <c r="AH108" s="635" t="str">
        <f t="shared" si="48"/>
        <v/>
      </c>
      <c r="AI108" s="633" t="str">
        <f t="shared" si="49"/>
        <v/>
      </c>
      <c r="AJ108" s="632" t="str">
        <f t="shared" si="50"/>
        <v/>
      </c>
      <c r="AK108" s="636" t="str">
        <f t="shared" si="51"/>
        <v/>
      </c>
      <c r="AL108" s="637" t="str">
        <f t="shared" si="52"/>
        <v/>
      </c>
      <c r="AM108" s="633" t="str">
        <f t="shared" si="53"/>
        <v/>
      </c>
      <c r="AN108" s="38"/>
    </row>
    <row r="109" spans="1:40" ht="13.2" x14ac:dyDescent="0.25">
      <c r="A109" s="26"/>
      <c r="B109" s="38"/>
      <c r="C109" s="261" t="s">
        <v>209</v>
      </c>
      <c r="D109" s="644" t="str">
        <f>IF('WK2 - Notional General Income'!C56="","",'WK2 - Notional General Income'!C56)</f>
        <v/>
      </c>
      <c r="E109" s="635" t="str">
        <f>IF('WK2 - Notional General Income'!L56="","",'WK2 - Notional General Income'!L56/'WK2 - Notional General Income'!D56)</f>
        <v/>
      </c>
      <c r="F109" s="635" t="str">
        <f>IF('WK3 - Notional GI Yr1 YIELD'!L53="","",'WK3 - Notional GI Yr1 YIELD'!L53/'WK3 - Notional GI Yr1 YIELD'!D53)</f>
        <v/>
      </c>
      <c r="G109" s="472"/>
      <c r="H109" s="472"/>
      <c r="I109" s="472"/>
      <c r="J109" s="472"/>
      <c r="K109" s="472"/>
      <c r="L109" s="472"/>
      <c r="M109" s="38"/>
      <c r="N109" s="632" t="str">
        <f t="shared" si="28"/>
        <v/>
      </c>
      <c r="O109" s="633" t="str">
        <f t="shared" si="29"/>
        <v/>
      </c>
      <c r="P109" s="632" t="str">
        <f t="shared" si="30"/>
        <v/>
      </c>
      <c r="Q109" s="634" t="str">
        <f t="shared" si="31"/>
        <v/>
      </c>
      <c r="R109" s="635" t="str">
        <f t="shared" si="32"/>
        <v/>
      </c>
      <c r="S109" s="633" t="str">
        <f t="shared" si="33"/>
        <v/>
      </c>
      <c r="T109" s="632" t="str">
        <f t="shared" si="34"/>
        <v/>
      </c>
      <c r="U109" s="634" t="str">
        <f t="shared" si="35"/>
        <v/>
      </c>
      <c r="V109" s="635" t="str">
        <f t="shared" si="36"/>
        <v/>
      </c>
      <c r="W109" s="633" t="str">
        <f t="shared" si="37"/>
        <v/>
      </c>
      <c r="X109" s="632" t="str">
        <f t="shared" si="38"/>
        <v/>
      </c>
      <c r="Y109" s="634" t="str">
        <f t="shared" si="39"/>
        <v/>
      </c>
      <c r="Z109" s="635" t="str">
        <f t="shared" si="40"/>
        <v/>
      </c>
      <c r="AA109" s="633" t="str">
        <f t="shared" si="41"/>
        <v/>
      </c>
      <c r="AB109" s="632" t="str">
        <f t="shared" si="42"/>
        <v/>
      </c>
      <c r="AC109" s="634" t="str">
        <f t="shared" si="43"/>
        <v/>
      </c>
      <c r="AD109" s="635" t="str">
        <f t="shared" si="44"/>
        <v/>
      </c>
      <c r="AE109" s="633" t="str">
        <f t="shared" si="45"/>
        <v/>
      </c>
      <c r="AF109" s="632" t="str">
        <f t="shared" si="46"/>
        <v/>
      </c>
      <c r="AG109" s="634" t="str">
        <f t="shared" si="47"/>
        <v/>
      </c>
      <c r="AH109" s="635" t="str">
        <f t="shared" si="48"/>
        <v/>
      </c>
      <c r="AI109" s="633" t="str">
        <f t="shared" si="49"/>
        <v/>
      </c>
      <c r="AJ109" s="632" t="str">
        <f t="shared" si="50"/>
        <v/>
      </c>
      <c r="AK109" s="636" t="str">
        <f t="shared" si="51"/>
        <v/>
      </c>
      <c r="AL109" s="637" t="str">
        <f t="shared" si="52"/>
        <v/>
      </c>
      <c r="AM109" s="633" t="str">
        <f t="shared" si="53"/>
        <v/>
      </c>
      <c r="AN109" s="38"/>
    </row>
    <row r="110" spans="1:40" ht="13.2" x14ac:dyDescent="0.25">
      <c r="A110" s="26"/>
      <c r="B110" s="38"/>
      <c r="C110" s="261" t="s">
        <v>209</v>
      </c>
      <c r="D110" s="644" t="str">
        <f>IF('WK2 - Notional General Income'!C57="","",'WK2 - Notional General Income'!C57)</f>
        <v/>
      </c>
      <c r="E110" s="635" t="str">
        <f>IF('WK2 - Notional General Income'!L57="","",'WK2 - Notional General Income'!L57/'WK2 - Notional General Income'!D57)</f>
        <v/>
      </c>
      <c r="F110" s="635" t="str">
        <f>IF('WK3 - Notional GI Yr1 YIELD'!L54="","",'WK3 - Notional GI Yr1 YIELD'!L54/'WK3 - Notional GI Yr1 YIELD'!D54)</f>
        <v/>
      </c>
      <c r="G110" s="472"/>
      <c r="H110" s="472"/>
      <c r="I110" s="472"/>
      <c r="J110" s="472"/>
      <c r="K110" s="472"/>
      <c r="L110" s="472"/>
      <c r="M110" s="38"/>
      <c r="N110" s="632" t="str">
        <f t="shared" si="28"/>
        <v/>
      </c>
      <c r="O110" s="633" t="str">
        <f t="shared" si="29"/>
        <v/>
      </c>
      <c r="P110" s="632" t="str">
        <f t="shared" si="30"/>
        <v/>
      </c>
      <c r="Q110" s="634" t="str">
        <f t="shared" si="31"/>
        <v/>
      </c>
      <c r="R110" s="635" t="str">
        <f t="shared" si="32"/>
        <v/>
      </c>
      <c r="S110" s="633" t="str">
        <f t="shared" si="33"/>
        <v/>
      </c>
      <c r="T110" s="632" t="str">
        <f t="shared" si="34"/>
        <v/>
      </c>
      <c r="U110" s="634" t="str">
        <f t="shared" si="35"/>
        <v/>
      </c>
      <c r="V110" s="635" t="str">
        <f t="shared" si="36"/>
        <v/>
      </c>
      <c r="W110" s="633" t="str">
        <f t="shared" si="37"/>
        <v/>
      </c>
      <c r="X110" s="632" t="str">
        <f t="shared" si="38"/>
        <v/>
      </c>
      <c r="Y110" s="634" t="str">
        <f t="shared" si="39"/>
        <v/>
      </c>
      <c r="Z110" s="635" t="str">
        <f t="shared" si="40"/>
        <v/>
      </c>
      <c r="AA110" s="633" t="str">
        <f t="shared" si="41"/>
        <v/>
      </c>
      <c r="AB110" s="632" t="str">
        <f t="shared" si="42"/>
        <v/>
      </c>
      <c r="AC110" s="634" t="str">
        <f t="shared" si="43"/>
        <v/>
      </c>
      <c r="AD110" s="635" t="str">
        <f t="shared" si="44"/>
        <v/>
      </c>
      <c r="AE110" s="633" t="str">
        <f t="shared" si="45"/>
        <v/>
      </c>
      <c r="AF110" s="632" t="str">
        <f t="shared" si="46"/>
        <v/>
      </c>
      <c r="AG110" s="634" t="str">
        <f t="shared" si="47"/>
        <v/>
      </c>
      <c r="AH110" s="635" t="str">
        <f t="shared" si="48"/>
        <v/>
      </c>
      <c r="AI110" s="633" t="str">
        <f t="shared" si="49"/>
        <v/>
      </c>
      <c r="AJ110" s="632" t="str">
        <f t="shared" si="50"/>
        <v/>
      </c>
      <c r="AK110" s="636" t="str">
        <f t="shared" si="51"/>
        <v/>
      </c>
      <c r="AL110" s="637" t="str">
        <f t="shared" si="52"/>
        <v/>
      </c>
      <c r="AM110" s="633" t="str">
        <f t="shared" si="53"/>
        <v/>
      </c>
      <c r="AN110" s="38"/>
    </row>
    <row r="111" spans="1:40" ht="13.2" x14ac:dyDescent="0.25">
      <c r="A111" s="26"/>
      <c r="B111" s="38"/>
      <c r="C111" s="261" t="s">
        <v>209</v>
      </c>
      <c r="D111" s="644" t="str">
        <f>IF('WK2 - Notional General Income'!C58="","",'WK2 - Notional General Income'!C58)</f>
        <v/>
      </c>
      <c r="E111" s="635" t="str">
        <f>IF('WK2 - Notional General Income'!L58="","",'WK2 - Notional General Income'!L58/'WK2 - Notional General Income'!D58)</f>
        <v/>
      </c>
      <c r="F111" s="635" t="str">
        <f>IF('WK3 - Notional GI Yr1 YIELD'!L55="","",'WK3 - Notional GI Yr1 YIELD'!L55/'WK3 - Notional GI Yr1 YIELD'!D55)</f>
        <v/>
      </c>
      <c r="G111" s="472"/>
      <c r="H111" s="472"/>
      <c r="I111" s="472"/>
      <c r="J111" s="472"/>
      <c r="K111" s="472"/>
      <c r="L111" s="472"/>
      <c r="M111" s="38"/>
      <c r="N111" s="632" t="str">
        <f t="shared" si="28"/>
        <v/>
      </c>
      <c r="O111" s="633" t="str">
        <f t="shared" si="29"/>
        <v/>
      </c>
      <c r="P111" s="632" t="str">
        <f t="shared" si="30"/>
        <v/>
      </c>
      <c r="Q111" s="634" t="str">
        <f t="shared" si="31"/>
        <v/>
      </c>
      <c r="R111" s="635" t="str">
        <f t="shared" si="32"/>
        <v/>
      </c>
      <c r="S111" s="633" t="str">
        <f t="shared" si="33"/>
        <v/>
      </c>
      <c r="T111" s="632" t="str">
        <f t="shared" si="34"/>
        <v/>
      </c>
      <c r="U111" s="634" t="str">
        <f t="shared" si="35"/>
        <v/>
      </c>
      <c r="V111" s="635" t="str">
        <f t="shared" si="36"/>
        <v/>
      </c>
      <c r="W111" s="633" t="str">
        <f t="shared" si="37"/>
        <v/>
      </c>
      <c r="X111" s="632" t="str">
        <f t="shared" si="38"/>
        <v/>
      </c>
      <c r="Y111" s="634" t="str">
        <f t="shared" si="39"/>
        <v/>
      </c>
      <c r="Z111" s="635" t="str">
        <f t="shared" si="40"/>
        <v/>
      </c>
      <c r="AA111" s="633" t="str">
        <f t="shared" si="41"/>
        <v/>
      </c>
      <c r="AB111" s="632" t="str">
        <f t="shared" si="42"/>
        <v/>
      </c>
      <c r="AC111" s="634" t="str">
        <f t="shared" si="43"/>
        <v/>
      </c>
      <c r="AD111" s="635" t="str">
        <f t="shared" si="44"/>
        <v/>
      </c>
      <c r="AE111" s="633" t="str">
        <f t="shared" si="45"/>
        <v/>
      </c>
      <c r="AF111" s="632" t="str">
        <f t="shared" si="46"/>
        <v/>
      </c>
      <c r="AG111" s="634" t="str">
        <f t="shared" si="47"/>
        <v/>
      </c>
      <c r="AH111" s="635" t="str">
        <f t="shared" si="48"/>
        <v/>
      </c>
      <c r="AI111" s="633" t="str">
        <f t="shared" si="49"/>
        <v/>
      </c>
      <c r="AJ111" s="632" t="str">
        <f t="shared" si="50"/>
        <v/>
      </c>
      <c r="AK111" s="636" t="str">
        <f t="shared" si="51"/>
        <v/>
      </c>
      <c r="AL111" s="637" t="str">
        <f t="shared" si="52"/>
        <v/>
      </c>
      <c r="AM111" s="633" t="str">
        <f t="shared" si="53"/>
        <v/>
      </c>
      <c r="AN111" s="38"/>
    </row>
    <row r="112" spans="1:40" ht="13.2" x14ac:dyDescent="0.25">
      <c r="A112" s="26"/>
      <c r="B112" s="38"/>
      <c r="C112" s="261" t="s">
        <v>209</v>
      </c>
      <c r="D112" s="644" t="str">
        <f>IF('WK2 - Notional General Income'!C59="","",'WK2 - Notional General Income'!C59)</f>
        <v/>
      </c>
      <c r="E112" s="635" t="str">
        <f>IF('WK2 - Notional General Income'!L59="","",'WK2 - Notional General Income'!L59/'WK2 - Notional General Income'!D59)</f>
        <v/>
      </c>
      <c r="F112" s="635" t="str">
        <f>IF('WK3 - Notional GI Yr1 YIELD'!L56="","",'WK3 - Notional GI Yr1 YIELD'!L56/'WK3 - Notional GI Yr1 YIELD'!D56)</f>
        <v/>
      </c>
      <c r="G112" s="472"/>
      <c r="H112" s="472"/>
      <c r="I112" s="472"/>
      <c r="J112" s="472"/>
      <c r="K112" s="472"/>
      <c r="L112" s="472"/>
      <c r="M112" s="38"/>
      <c r="N112" s="632" t="str">
        <f t="shared" si="28"/>
        <v/>
      </c>
      <c r="O112" s="633" t="str">
        <f t="shared" si="29"/>
        <v/>
      </c>
      <c r="P112" s="632" t="str">
        <f t="shared" si="30"/>
        <v/>
      </c>
      <c r="Q112" s="634" t="str">
        <f t="shared" si="31"/>
        <v/>
      </c>
      <c r="R112" s="635" t="str">
        <f t="shared" si="32"/>
        <v/>
      </c>
      <c r="S112" s="633" t="str">
        <f t="shared" si="33"/>
        <v/>
      </c>
      <c r="T112" s="632" t="str">
        <f t="shared" si="34"/>
        <v/>
      </c>
      <c r="U112" s="634" t="str">
        <f t="shared" si="35"/>
        <v/>
      </c>
      <c r="V112" s="635" t="str">
        <f t="shared" si="36"/>
        <v/>
      </c>
      <c r="W112" s="633" t="str">
        <f t="shared" si="37"/>
        <v/>
      </c>
      <c r="X112" s="632" t="str">
        <f t="shared" si="38"/>
        <v/>
      </c>
      <c r="Y112" s="634" t="str">
        <f t="shared" si="39"/>
        <v/>
      </c>
      <c r="Z112" s="635" t="str">
        <f t="shared" si="40"/>
        <v/>
      </c>
      <c r="AA112" s="633" t="str">
        <f t="shared" si="41"/>
        <v/>
      </c>
      <c r="AB112" s="632" t="str">
        <f t="shared" si="42"/>
        <v/>
      </c>
      <c r="AC112" s="634" t="str">
        <f t="shared" si="43"/>
        <v/>
      </c>
      <c r="AD112" s="635" t="str">
        <f t="shared" si="44"/>
        <v/>
      </c>
      <c r="AE112" s="633" t="str">
        <f t="shared" si="45"/>
        <v/>
      </c>
      <c r="AF112" s="632" t="str">
        <f t="shared" si="46"/>
        <v/>
      </c>
      <c r="AG112" s="634" t="str">
        <f t="shared" si="47"/>
        <v/>
      </c>
      <c r="AH112" s="635" t="str">
        <f t="shared" si="48"/>
        <v/>
      </c>
      <c r="AI112" s="633" t="str">
        <f t="shared" si="49"/>
        <v/>
      </c>
      <c r="AJ112" s="632" t="str">
        <f t="shared" si="50"/>
        <v/>
      </c>
      <c r="AK112" s="636" t="str">
        <f t="shared" si="51"/>
        <v/>
      </c>
      <c r="AL112" s="637" t="str">
        <f t="shared" si="52"/>
        <v/>
      </c>
      <c r="AM112" s="633" t="str">
        <f t="shared" si="53"/>
        <v/>
      </c>
      <c r="AN112" s="38"/>
    </row>
    <row r="113" spans="1:40" ht="13.2" x14ac:dyDescent="0.25">
      <c r="A113" s="26"/>
      <c r="B113" s="38"/>
      <c r="C113" s="261" t="s">
        <v>209</v>
      </c>
      <c r="D113" s="644" t="str">
        <f>IF('WK2 - Notional General Income'!C60="","",'WK2 - Notional General Income'!C60)</f>
        <v/>
      </c>
      <c r="E113" s="635" t="str">
        <f>IF('WK2 - Notional General Income'!L60="","",'WK2 - Notional General Income'!L60/'WK2 - Notional General Income'!D60)</f>
        <v/>
      </c>
      <c r="F113" s="635" t="str">
        <f>IF('WK3 - Notional GI Yr1 YIELD'!L57="","",'WK3 - Notional GI Yr1 YIELD'!L57/'WK3 - Notional GI Yr1 YIELD'!D57)</f>
        <v/>
      </c>
      <c r="G113" s="472"/>
      <c r="H113" s="472"/>
      <c r="I113" s="472"/>
      <c r="J113" s="472"/>
      <c r="K113" s="472"/>
      <c r="L113" s="472"/>
      <c r="M113" s="38"/>
      <c r="N113" s="632" t="str">
        <f t="shared" si="28"/>
        <v/>
      </c>
      <c r="O113" s="633" t="str">
        <f t="shared" si="29"/>
        <v/>
      </c>
      <c r="P113" s="632" t="str">
        <f t="shared" si="30"/>
        <v/>
      </c>
      <c r="Q113" s="634" t="str">
        <f t="shared" si="31"/>
        <v/>
      </c>
      <c r="R113" s="635" t="str">
        <f t="shared" si="32"/>
        <v/>
      </c>
      <c r="S113" s="633" t="str">
        <f t="shared" si="33"/>
        <v/>
      </c>
      <c r="T113" s="632" t="str">
        <f t="shared" si="34"/>
        <v/>
      </c>
      <c r="U113" s="634" t="str">
        <f t="shared" si="35"/>
        <v/>
      </c>
      <c r="V113" s="635" t="str">
        <f t="shared" si="36"/>
        <v/>
      </c>
      <c r="W113" s="633" t="str">
        <f t="shared" si="37"/>
        <v/>
      </c>
      <c r="X113" s="632" t="str">
        <f t="shared" si="38"/>
        <v/>
      </c>
      <c r="Y113" s="634" t="str">
        <f t="shared" si="39"/>
        <v/>
      </c>
      <c r="Z113" s="635" t="str">
        <f t="shared" si="40"/>
        <v/>
      </c>
      <c r="AA113" s="633" t="str">
        <f t="shared" si="41"/>
        <v/>
      </c>
      <c r="AB113" s="632" t="str">
        <f t="shared" si="42"/>
        <v/>
      </c>
      <c r="AC113" s="634" t="str">
        <f t="shared" si="43"/>
        <v/>
      </c>
      <c r="AD113" s="635" t="str">
        <f t="shared" si="44"/>
        <v/>
      </c>
      <c r="AE113" s="633" t="str">
        <f t="shared" si="45"/>
        <v/>
      </c>
      <c r="AF113" s="632" t="str">
        <f t="shared" si="46"/>
        <v/>
      </c>
      <c r="AG113" s="634" t="str">
        <f t="shared" si="47"/>
        <v/>
      </c>
      <c r="AH113" s="635" t="str">
        <f t="shared" si="48"/>
        <v/>
      </c>
      <c r="AI113" s="633" t="str">
        <f t="shared" si="49"/>
        <v/>
      </c>
      <c r="AJ113" s="632" t="str">
        <f t="shared" si="50"/>
        <v/>
      </c>
      <c r="AK113" s="636" t="str">
        <f t="shared" si="51"/>
        <v/>
      </c>
      <c r="AL113" s="637" t="str">
        <f t="shared" si="52"/>
        <v/>
      </c>
      <c r="AM113" s="633" t="str">
        <f t="shared" si="53"/>
        <v/>
      </c>
      <c r="AN113" s="38"/>
    </row>
    <row r="114" spans="1:40" ht="13.2" x14ac:dyDescent="0.25">
      <c r="A114" s="26"/>
      <c r="B114" s="38"/>
      <c r="C114" s="261" t="s">
        <v>209</v>
      </c>
      <c r="D114" s="644" t="str">
        <f>IF('WK2 - Notional General Income'!C61="","",'WK2 - Notional General Income'!C61)</f>
        <v/>
      </c>
      <c r="E114" s="635" t="str">
        <f>IF('WK2 - Notional General Income'!L61="","",'WK2 - Notional General Income'!L61/'WK2 - Notional General Income'!D61)</f>
        <v/>
      </c>
      <c r="F114" s="635" t="str">
        <f>IF('WK3 - Notional GI Yr1 YIELD'!L58="","",'WK3 - Notional GI Yr1 YIELD'!L58/'WK3 - Notional GI Yr1 YIELD'!D58)</f>
        <v/>
      </c>
      <c r="G114" s="472"/>
      <c r="H114" s="472"/>
      <c r="I114" s="472"/>
      <c r="J114" s="472"/>
      <c r="K114" s="472"/>
      <c r="L114" s="472"/>
      <c r="M114" s="38"/>
      <c r="N114" s="632" t="str">
        <f t="shared" si="28"/>
        <v/>
      </c>
      <c r="O114" s="633" t="str">
        <f t="shared" si="29"/>
        <v/>
      </c>
      <c r="P114" s="632" t="str">
        <f t="shared" si="30"/>
        <v/>
      </c>
      <c r="Q114" s="634" t="str">
        <f t="shared" si="31"/>
        <v/>
      </c>
      <c r="R114" s="635" t="str">
        <f t="shared" si="32"/>
        <v/>
      </c>
      <c r="S114" s="633" t="str">
        <f t="shared" si="33"/>
        <v/>
      </c>
      <c r="T114" s="632" t="str">
        <f t="shared" si="34"/>
        <v/>
      </c>
      <c r="U114" s="634" t="str">
        <f t="shared" si="35"/>
        <v/>
      </c>
      <c r="V114" s="635" t="str">
        <f t="shared" si="36"/>
        <v/>
      </c>
      <c r="W114" s="633" t="str">
        <f t="shared" si="37"/>
        <v/>
      </c>
      <c r="X114" s="632" t="str">
        <f t="shared" si="38"/>
        <v/>
      </c>
      <c r="Y114" s="634" t="str">
        <f t="shared" si="39"/>
        <v/>
      </c>
      <c r="Z114" s="635" t="str">
        <f t="shared" si="40"/>
        <v/>
      </c>
      <c r="AA114" s="633" t="str">
        <f t="shared" si="41"/>
        <v/>
      </c>
      <c r="AB114" s="632" t="str">
        <f t="shared" si="42"/>
        <v/>
      </c>
      <c r="AC114" s="634" t="str">
        <f t="shared" si="43"/>
        <v/>
      </c>
      <c r="AD114" s="635" t="str">
        <f t="shared" si="44"/>
        <v/>
      </c>
      <c r="AE114" s="633" t="str">
        <f t="shared" si="45"/>
        <v/>
      </c>
      <c r="AF114" s="632" t="str">
        <f t="shared" si="46"/>
        <v/>
      </c>
      <c r="AG114" s="634" t="str">
        <f t="shared" si="47"/>
        <v/>
      </c>
      <c r="AH114" s="635" t="str">
        <f t="shared" si="48"/>
        <v/>
      </c>
      <c r="AI114" s="633" t="str">
        <f t="shared" si="49"/>
        <v/>
      </c>
      <c r="AJ114" s="632" t="str">
        <f t="shared" si="50"/>
        <v/>
      </c>
      <c r="AK114" s="636" t="str">
        <f t="shared" si="51"/>
        <v/>
      </c>
      <c r="AL114" s="637" t="str">
        <f t="shared" si="52"/>
        <v/>
      </c>
      <c r="AM114" s="633" t="str">
        <f t="shared" si="53"/>
        <v/>
      </c>
      <c r="AN114" s="38"/>
    </row>
    <row r="115" spans="1:40" ht="13.2" x14ac:dyDescent="0.25">
      <c r="A115" s="26"/>
      <c r="B115" s="38"/>
      <c r="C115" s="261" t="s">
        <v>209</v>
      </c>
      <c r="D115" s="644" t="str">
        <f>IF('WK2 - Notional General Income'!C62="","",'WK2 - Notional General Income'!C62)</f>
        <v/>
      </c>
      <c r="E115" s="635" t="str">
        <f>IF('WK2 - Notional General Income'!L62="","",'WK2 - Notional General Income'!L62/'WK2 - Notional General Income'!D62)</f>
        <v/>
      </c>
      <c r="F115" s="635" t="str">
        <f>IF('WK3 - Notional GI Yr1 YIELD'!L59="","",'WK3 - Notional GI Yr1 YIELD'!L59/'WK3 - Notional GI Yr1 YIELD'!D59)</f>
        <v/>
      </c>
      <c r="G115" s="472"/>
      <c r="H115" s="472"/>
      <c r="I115" s="472"/>
      <c r="J115" s="472"/>
      <c r="K115" s="472"/>
      <c r="L115" s="472"/>
      <c r="M115" s="38"/>
      <c r="N115" s="632" t="str">
        <f t="shared" si="28"/>
        <v/>
      </c>
      <c r="O115" s="633" t="str">
        <f t="shared" si="29"/>
        <v/>
      </c>
      <c r="P115" s="632" t="str">
        <f t="shared" si="30"/>
        <v/>
      </c>
      <c r="Q115" s="634" t="str">
        <f t="shared" si="31"/>
        <v/>
      </c>
      <c r="R115" s="635" t="str">
        <f t="shared" si="32"/>
        <v/>
      </c>
      <c r="S115" s="633" t="str">
        <f t="shared" si="33"/>
        <v/>
      </c>
      <c r="T115" s="632" t="str">
        <f t="shared" si="34"/>
        <v/>
      </c>
      <c r="U115" s="634" t="str">
        <f t="shared" si="35"/>
        <v/>
      </c>
      <c r="V115" s="635" t="str">
        <f t="shared" si="36"/>
        <v/>
      </c>
      <c r="W115" s="633" t="str">
        <f t="shared" si="37"/>
        <v/>
      </c>
      <c r="X115" s="632" t="str">
        <f t="shared" si="38"/>
        <v/>
      </c>
      <c r="Y115" s="634" t="str">
        <f t="shared" si="39"/>
        <v/>
      </c>
      <c r="Z115" s="635" t="str">
        <f t="shared" si="40"/>
        <v/>
      </c>
      <c r="AA115" s="633" t="str">
        <f t="shared" si="41"/>
        <v/>
      </c>
      <c r="AB115" s="632" t="str">
        <f t="shared" si="42"/>
        <v/>
      </c>
      <c r="AC115" s="634" t="str">
        <f t="shared" si="43"/>
        <v/>
      </c>
      <c r="AD115" s="635" t="str">
        <f t="shared" si="44"/>
        <v/>
      </c>
      <c r="AE115" s="633" t="str">
        <f t="shared" si="45"/>
        <v/>
      </c>
      <c r="AF115" s="632" t="str">
        <f t="shared" si="46"/>
        <v/>
      </c>
      <c r="AG115" s="634" t="str">
        <f t="shared" si="47"/>
        <v/>
      </c>
      <c r="AH115" s="635" t="str">
        <f t="shared" si="48"/>
        <v/>
      </c>
      <c r="AI115" s="633" t="str">
        <f t="shared" si="49"/>
        <v/>
      </c>
      <c r="AJ115" s="632" t="str">
        <f t="shared" si="50"/>
        <v/>
      </c>
      <c r="AK115" s="636" t="str">
        <f t="shared" si="51"/>
        <v/>
      </c>
      <c r="AL115" s="637" t="str">
        <f t="shared" si="52"/>
        <v/>
      </c>
      <c r="AM115" s="633" t="str">
        <f t="shared" si="53"/>
        <v/>
      </c>
      <c r="AN115" s="38"/>
    </row>
    <row r="116" spans="1:40" ht="13.2" x14ac:dyDescent="0.25">
      <c r="A116" s="26"/>
      <c r="B116" s="38"/>
      <c r="C116" s="261" t="s">
        <v>441</v>
      </c>
      <c r="D116" s="644" t="str">
        <f>IF('WK2 - Notional General Income'!C105="","",'WK2 - Notional General Income'!C105)</f>
        <v/>
      </c>
      <c r="E116" s="635" t="str">
        <f>IF('WK2 - Notional General Income'!L105="","",'WK2 - Notional General Income'!L105/'WK2 - Notional General Income'!D105)</f>
        <v/>
      </c>
      <c r="F116" s="635" t="str">
        <f>IF('WK3 - Notional GI Yr1 YIELD'!L102="","",'WK3 - Notional GI Yr1 YIELD'!L102/'WK3 - Notional GI Yr1 YIELD'!D102)</f>
        <v/>
      </c>
      <c r="G116" s="472"/>
      <c r="H116" s="472"/>
      <c r="I116" s="472"/>
      <c r="J116" s="472"/>
      <c r="K116" s="472"/>
      <c r="L116" s="472"/>
      <c r="M116" s="38"/>
      <c r="N116" s="632" t="str">
        <f t="shared" si="28"/>
        <v/>
      </c>
      <c r="O116" s="633" t="str">
        <f t="shared" si="29"/>
        <v/>
      </c>
      <c r="P116" s="632" t="str">
        <f t="shared" si="30"/>
        <v/>
      </c>
      <c r="Q116" s="634" t="str">
        <f t="shared" si="31"/>
        <v/>
      </c>
      <c r="R116" s="635" t="str">
        <f t="shared" si="32"/>
        <v/>
      </c>
      <c r="S116" s="633" t="str">
        <f t="shared" si="33"/>
        <v/>
      </c>
      <c r="T116" s="632" t="str">
        <f t="shared" si="34"/>
        <v/>
      </c>
      <c r="U116" s="634" t="str">
        <f t="shared" si="35"/>
        <v/>
      </c>
      <c r="V116" s="635" t="str">
        <f t="shared" si="36"/>
        <v/>
      </c>
      <c r="W116" s="633" t="str">
        <f t="shared" si="37"/>
        <v/>
      </c>
      <c r="X116" s="632" t="str">
        <f t="shared" si="38"/>
        <v/>
      </c>
      <c r="Y116" s="634" t="str">
        <f t="shared" si="39"/>
        <v/>
      </c>
      <c r="Z116" s="635" t="str">
        <f t="shared" si="40"/>
        <v/>
      </c>
      <c r="AA116" s="633" t="str">
        <f t="shared" si="41"/>
        <v/>
      </c>
      <c r="AB116" s="632" t="str">
        <f t="shared" si="42"/>
        <v/>
      </c>
      <c r="AC116" s="634" t="str">
        <f t="shared" si="43"/>
        <v/>
      </c>
      <c r="AD116" s="635" t="str">
        <f t="shared" si="44"/>
        <v/>
      </c>
      <c r="AE116" s="633" t="str">
        <f t="shared" si="45"/>
        <v/>
      </c>
      <c r="AF116" s="632" t="str">
        <f t="shared" si="46"/>
        <v/>
      </c>
      <c r="AG116" s="634" t="str">
        <f t="shared" si="47"/>
        <v/>
      </c>
      <c r="AH116" s="635" t="str">
        <f t="shared" si="48"/>
        <v/>
      </c>
      <c r="AI116" s="633" t="str">
        <f t="shared" si="49"/>
        <v/>
      </c>
      <c r="AJ116" s="632" t="str">
        <f t="shared" si="50"/>
        <v/>
      </c>
      <c r="AK116" s="636" t="str">
        <f t="shared" si="51"/>
        <v/>
      </c>
      <c r="AL116" s="637" t="str">
        <f t="shared" si="52"/>
        <v/>
      </c>
      <c r="AM116" s="633" t="str">
        <f t="shared" si="53"/>
        <v/>
      </c>
      <c r="AN116" s="38"/>
    </row>
    <row r="117" spans="1:40" ht="13.2" x14ac:dyDescent="0.25">
      <c r="A117" s="26"/>
      <c r="B117" s="38"/>
      <c r="C117" s="261" t="s">
        <v>441</v>
      </c>
      <c r="D117" s="644" t="str">
        <f>IF('WK2 - Notional General Income'!C106="","",'WK2 - Notional General Income'!C106)</f>
        <v/>
      </c>
      <c r="E117" s="635" t="str">
        <f>IF('WK2 - Notional General Income'!L106="","",'WK2 - Notional General Income'!L106/'WK2 - Notional General Income'!D106)</f>
        <v/>
      </c>
      <c r="F117" s="635" t="str">
        <f>IF('WK3 - Notional GI Yr1 YIELD'!L103="","",'WK3 - Notional GI Yr1 YIELD'!L103/'WK3 - Notional GI Yr1 YIELD'!D103)</f>
        <v/>
      </c>
      <c r="G117" s="472"/>
      <c r="H117" s="472"/>
      <c r="I117" s="472"/>
      <c r="J117" s="472"/>
      <c r="K117" s="472"/>
      <c r="L117" s="472"/>
      <c r="M117" s="38"/>
      <c r="N117" s="632" t="str">
        <f t="shared" si="28"/>
        <v/>
      </c>
      <c r="O117" s="633" t="str">
        <f t="shared" si="29"/>
        <v/>
      </c>
      <c r="P117" s="632" t="str">
        <f t="shared" si="30"/>
        <v/>
      </c>
      <c r="Q117" s="634" t="str">
        <f t="shared" si="31"/>
        <v/>
      </c>
      <c r="R117" s="635" t="str">
        <f t="shared" si="32"/>
        <v/>
      </c>
      <c r="S117" s="633" t="str">
        <f t="shared" si="33"/>
        <v/>
      </c>
      <c r="T117" s="632" t="str">
        <f t="shared" si="34"/>
        <v/>
      </c>
      <c r="U117" s="634" t="str">
        <f t="shared" si="35"/>
        <v/>
      </c>
      <c r="V117" s="635" t="str">
        <f t="shared" si="36"/>
        <v/>
      </c>
      <c r="W117" s="633" t="str">
        <f t="shared" si="37"/>
        <v/>
      </c>
      <c r="X117" s="632" t="str">
        <f t="shared" si="38"/>
        <v/>
      </c>
      <c r="Y117" s="634" t="str">
        <f t="shared" si="39"/>
        <v/>
      </c>
      <c r="Z117" s="635" t="str">
        <f t="shared" si="40"/>
        <v/>
      </c>
      <c r="AA117" s="633" t="str">
        <f t="shared" si="41"/>
        <v/>
      </c>
      <c r="AB117" s="632" t="str">
        <f t="shared" si="42"/>
        <v/>
      </c>
      <c r="AC117" s="634" t="str">
        <f t="shared" si="43"/>
        <v/>
      </c>
      <c r="AD117" s="635" t="str">
        <f t="shared" si="44"/>
        <v/>
      </c>
      <c r="AE117" s="633" t="str">
        <f t="shared" si="45"/>
        <v/>
      </c>
      <c r="AF117" s="632" t="str">
        <f t="shared" si="46"/>
        <v/>
      </c>
      <c r="AG117" s="634" t="str">
        <f t="shared" si="47"/>
        <v/>
      </c>
      <c r="AH117" s="635" t="str">
        <f t="shared" si="48"/>
        <v/>
      </c>
      <c r="AI117" s="633" t="str">
        <f t="shared" si="49"/>
        <v/>
      </c>
      <c r="AJ117" s="632" t="str">
        <f t="shared" si="50"/>
        <v/>
      </c>
      <c r="AK117" s="636" t="str">
        <f t="shared" si="51"/>
        <v/>
      </c>
      <c r="AL117" s="637" t="str">
        <f t="shared" si="52"/>
        <v/>
      </c>
      <c r="AM117" s="633" t="str">
        <f t="shared" si="53"/>
        <v/>
      </c>
      <c r="AN117" s="38"/>
    </row>
    <row r="118" spans="1:40" ht="13.2" x14ac:dyDescent="0.25">
      <c r="A118" s="26"/>
      <c r="B118" s="38"/>
      <c r="C118" s="261" t="s">
        <v>441</v>
      </c>
      <c r="D118" s="644" t="str">
        <f>IF('WK2 - Notional General Income'!C107="","",'WK2 - Notional General Income'!C107)</f>
        <v/>
      </c>
      <c r="E118" s="635" t="str">
        <f>IF('WK2 - Notional General Income'!L107="","",'WK2 - Notional General Income'!L107/'WK2 - Notional General Income'!D107)</f>
        <v/>
      </c>
      <c r="F118" s="635" t="str">
        <f>IF('WK3 - Notional GI Yr1 YIELD'!L104="","",'WK3 - Notional GI Yr1 YIELD'!L104/'WK3 - Notional GI Yr1 YIELD'!D104)</f>
        <v/>
      </c>
      <c r="G118" s="472"/>
      <c r="H118" s="472"/>
      <c r="I118" s="472"/>
      <c r="J118" s="472"/>
      <c r="K118" s="472"/>
      <c r="L118" s="472"/>
      <c r="M118" s="38"/>
      <c r="N118" s="632" t="str">
        <f t="shared" si="28"/>
        <v/>
      </c>
      <c r="O118" s="633" t="str">
        <f t="shared" si="29"/>
        <v/>
      </c>
      <c r="P118" s="632" t="str">
        <f t="shared" si="30"/>
        <v/>
      </c>
      <c r="Q118" s="634" t="str">
        <f t="shared" si="31"/>
        <v/>
      </c>
      <c r="R118" s="635" t="str">
        <f t="shared" si="32"/>
        <v/>
      </c>
      <c r="S118" s="633" t="str">
        <f t="shared" si="33"/>
        <v/>
      </c>
      <c r="T118" s="632" t="str">
        <f t="shared" si="34"/>
        <v/>
      </c>
      <c r="U118" s="634" t="str">
        <f t="shared" si="35"/>
        <v/>
      </c>
      <c r="V118" s="635" t="str">
        <f t="shared" si="36"/>
        <v/>
      </c>
      <c r="W118" s="633" t="str">
        <f t="shared" si="37"/>
        <v/>
      </c>
      <c r="X118" s="632" t="str">
        <f t="shared" si="38"/>
        <v/>
      </c>
      <c r="Y118" s="634" t="str">
        <f t="shared" si="39"/>
        <v/>
      </c>
      <c r="Z118" s="635" t="str">
        <f t="shared" si="40"/>
        <v/>
      </c>
      <c r="AA118" s="633" t="str">
        <f t="shared" si="41"/>
        <v/>
      </c>
      <c r="AB118" s="632" t="str">
        <f t="shared" si="42"/>
        <v/>
      </c>
      <c r="AC118" s="634" t="str">
        <f t="shared" si="43"/>
        <v/>
      </c>
      <c r="AD118" s="635" t="str">
        <f t="shared" si="44"/>
        <v/>
      </c>
      <c r="AE118" s="633" t="str">
        <f t="shared" si="45"/>
        <v/>
      </c>
      <c r="AF118" s="632" t="str">
        <f t="shared" si="46"/>
        <v/>
      </c>
      <c r="AG118" s="634" t="str">
        <f t="shared" si="47"/>
        <v/>
      </c>
      <c r="AH118" s="635" t="str">
        <f t="shared" si="48"/>
        <v/>
      </c>
      <c r="AI118" s="633" t="str">
        <f t="shared" si="49"/>
        <v/>
      </c>
      <c r="AJ118" s="632" t="str">
        <f t="shared" si="50"/>
        <v/>
      </c>
      <c r="AK118" s="636" t="str">
        <f t="shared" si="51"/>
        <v/>
      </c>
      <c r="AL118" s="637" t="str">
        <f t="shared" si="52"/>
        <v/>
      </c>
      <c r="AM118" s="633" t="str">
        <f t="shared" si="53"/>
        <v/>
      </c>
      <c r="AN118" s="38"/>
    </row>
    <row r="119" spans="1:40" ht="13.2" x14ac:dyDescent="0.25">
      <c r="A119" s="26"/>
      <c r="B119" s="38"/>
      <c r="C119" s="261" t="s">
        <v>441</v>
      </c>
      <c r="D119" s="644" t="str">
        <f>IF('WK2 - Notional General Income'!C108="","",'WK2 - Notional General Income'!C108)</f>
        <v/>
      </c>
      <c r="E119" s="635" t="str">
        <f>IF('WK2 - Notional General Income'!L108="","",'WK2 - Notional General Income'!L108/'WK2 - Notional General Income'!D108)</f>
        <v/>
      </c>
      <c r="F119" s="635" t="str">
        <f>IF('WK3 - Notional GI Yr1 YIELD'!L105="","",'WK3 - Notional GI Yr1 YIELD'!L105/'WK3 - Notional GI Yr1 YIELD'!D105)</f>
        <v/>
      </c>
      <c r="G119" s="472"/>
      <c r="H119" s="472"/>
      <c r="I119" s="472"/>
      <c r="J119" s="472"/>
      <c r="K119" s="472"/>
      <c r="L119" s="472"/>
      <c r="M119" s="38"/>
      <c r="N119" s="632" t="str">
        <f t="shared" si="28"/>
        <v/>
      </c>
      <c r="O119" s="633" t="str">
        <f t="shared" si="29"/>
        <v/>
      </c>
      <c r="P119" s="632" t="str">
        <f t="shared" si="30"/>
        <v/>
      </c>
      <c r="Q119" s="634" t="str">
        <f t="shared" si="31"/>
        <v/>
      </c>
      <c r="R119" s="635" t="str">
        <f t="shared" si="32"/>
        <v/>
      </c>
      <c r="S119" s="633" t="str">
        <f t="shared" si="33"/>
        <v/>
      </c>
      <c r="T119" s="632" t="str">
        <f t="shared" si="34"/>
        <v/>
      </c>
      <c r="U119" s="634" t="str">
        <f t="shared" si="35"/>
        <v/>
      </c>
      <c r="V119" s="635" t="str">
        <f t="shared" si="36"/>
        <v/>
      </c>
      <c r="W119" s="633" t="str">
        <f t="shared" si="37"/>
        <v/>
      </c>
      <c r="X119" s="632" t="str">
        <f t="shared" si="38"/>
        <v/>
      </c>
      <c r="Y119" s="634" t="str">
        <f t="shared" si="39"/>
        <v/>
      </c>
      <c r="Z119" s="635" t="str">
        <f t="shared" si="40"/>
        <v/>
      </c>
      <c r="AA119" s="633" t="str">
        <f t="shared" si="41"/>
        <v/>
      </c>
      <c r="AB119" s="632" t="str">
        <f t="shared" si="42"/>
        <v/>
      </c>
      <c r="AC119" s="634" t="str">
        <f t="shared" si="43"/>
        <v/>
      </c>
      <c r="AD119" s="635" t="str">
        <f t="shared" si="44"/>
        <v/>
      </c>
      <c r="AE119" s="633" t="str">
        <f t="shared" si="45"/>
        <v/>
      </c>
      <c r="AF119" s="632" t="str">
        <f t="shared" si="46"/>
        <v/>
      </c>
      <c r="AG119" s="634" t="str">
        <f t="shared" si="47"/>
        <v/>
      </c>
      <c r="AH119" s="635" t="str">
        <f t="shared" si="48"/>
        <v/>
      </c>
      <c r="AI119" s="633" t="str">
        <f t="shared" si="49"/>
        <v/>
      </c>
      <c r="AJ119" s="632" t="str">
        <f t="shared" si="50"/>
        <v/>
      </c>
      <c r="AK119" s="636" t="str">
        <f t="shared" si="51"/>
        <v/>
      </c>
      <c r="AL119" s="637" t="str">
        <f t="shared" si="52"/>
        <v/>
      </c>
      <c r="AM119" s="633" t="str">
        <f t="shared" si="53"/>
        <v/>
      </c>
      <c r="AN119" s="38"/>
    </row>
    <row r="120" spans="1:40" ht="13.2" x14ac:dyDescent="0.25">
      <c r="A120" s="26"/>
      <c r="B120" s="38"/>
      <c r="C120" s="261" t="s">
        <v>441</v>
      </c>
      <c r="D120" s="644" t="str">
        <f>IF('WK2 - Notional General Income'!C109="","",'WK2 - Notional General Income'!C109)</f>
        <v/>
      </c>
      <c r="E120" s="635" t="str">
        <f>IF('WK2 - Notional General Income'!L109="","",'WK2 - Notional General Income'!L109/'WK2 - Notional General Income'!D109)</f>
        <v/>
      </c>
      <c r="F120" s="635" t="str">
        <f>IF('WK3 - Notional GI Yr1 YIELD'!L106="","",'WK3 - Notional GI Yr1 YIELD'!L106/'WK3 - Notional GI Yr1 YIELD'!D106)</f>
        <v/>
      </c>
      <c r="G120" s="472"/>
      <c r="H120" s="472"/>
      <c r="I120" s="472"/>
      <c r="J120" s="472"/>
      <c r="K120" s="472"/>
      <c r="L120" s="472"/>
      <c r="M120" s="38"/>
      <c r="N120" s="632" t="str">
        <f t="shared" si="28"/>
        <v/>
      </c>
      <c r="O120" s="633" t="str">
        <f t="shared" si="29"/>
        <v/>
      </c>
      <c r="P120" s="632" t="str">
        <f t="shared" si="30"/>
        <v/>
      </c>
      <c r="Q120" s="634" t="str">
        <f t="shared" si="31"/>
        <v/>
      </c>
      <c r="R120" s="635" t="str">
        <f t="shared" si="32"/>
        <v/>
      </c>
      <c r="S120" s="633" t="str">
        <f t="shared" si="33"/>
        <v/>
      </c>
      <c r="T120" s="632" t="str">
        <f t="shared" si="34"/>
        <v/>
      </c>
      <c r="U120" s="634" t="str">
        <f t="shared" si="35"/>
        <v/>
      </c>
      <c r="V120" s="635" t="str">
        <f t="shared" si="36"/>
        <v/>
      </c>
      <c r="W120" s="633" t="str">
        <f t="shared" si="37"/>
        <v/>
      </c>
      <c r="X120" s="632" t="str">
        <f t="shared" si="38"/>
        <v/>
      </c>
      <c r="Y120" s="634" t="str">
        <f t="shared" si="39"/>
        <v/>
      </c>
      <c r="Z120" s="635" t="str">
        <f t="shared" si="40"/>
        <v/>
      </c>
      <c r="AA120" s="633" t="str">
        <f t="shared" si="41"/>
        <v/>
      </c>
      <c r="AB120" s="632" t="str">
        <f t="shared" si="42"/>
        <v/>
      </c>
      <c r="AC120" s="634" t="str">
        <f t="shared" si="43"/>
        <v/>
      </c>
      <c r="AD120" s="635" t="str">
        <f t="shared" si="44"/>
        <v/>
      </c>
      <c r="AE120" s="633" t="str">
        <f t="shared" si="45"/>
        <v/>
      </c>
      <c r="AF120" s="632" t="str">
        <f t="shared" si="46"/>
        <v/>
      </c>
      <c r="AG120" s="634" t="str">
        <f t="shared" si="47"/>
        <v/>
      </c>
      <c r="AH120" s="635" t="str">
        <f t="shared" si="48"/>
        <v/>
      </c>
      <c r="AI120" s="633" t="str">
        <f t="shared" si="49"/>
        <v/>
      </c>
      <c r="AJ120" s="632" t="str">
        <f t="shared" si="50"/>
        <v/>
      </c>
      <c r="AK120" s="636" t="str">
        <f t="shared" si="51"/>
        <v/>
      </c>
      <c r="AL120" s="637" t="str">
        <f t="shared" si="52"/>
        <v/>
      </c>
      <c r="AM120" s="633" t="str">
        <f t="shared" si="53"/>
        <v/>
      </c>
      <c r="AN120" s="38"/>
    </row>
    <row r="121" spans="1:40" ht="13.2" x14ac:dyDescent="0.25">
      <c r="A121" s="26"/>
      <c r="B121" s="38"/>
      <c r="C121" s="261" t="s">
        <v>441</v>
      </c>
      <c r="D121" s="644" t="str">
        <f>IF('WK2 - Notional General Income'!C110="","",'WK2 - Notional General Income'!C110)</f>
        <v/>
      </c>
      <c r="E121" s="635" t="str">
        <f>IF('WK2 - Notional General Income'!L110="","",'WK2 - Notional General Income'!L110/'WK2 - Notional General Income'!D110)</f>
        <v/>
      </c>
      <c r="F121" s="635" t="str">
        <f>IF('WK3 - Notional GI Yr1 YIELD'!L107="","",'WK3 - Notional GI Yr1 YIELD'!L107/'WK3 - Notional GI Yr1 YIELD'!D107)</f>
        <v/>
      </c>
      <c r="G121" s="472"/>
      <c r="H121" s="472"/>
      <c r="I121" s="472"/>
      <c r="J121" s="472"/>
      <c r="K121" s="472"/>
      <c r="L121" s="472"/>
      <c r="M121" s="38"/>
      <c r="N121" s="632" t="str">
        <f t="shared" si="28"/>
        <v/>
      </c>
      <c r="O121" s="633" t="str">
        <f t="shared" si="29"/>
        <v/>
      </c>
      <c r="P121" s="632" t="str">
        <f t="shared" si="30"/>
        <v/>
      </c>
      <c r="Q121" s="634" t="str">
        <f t="shared" si="31"/>
        <v/>
      </c>
      <c r="R121" s="635" t="str">
        <f t="shared" si="32"/>
        <v/>
      </c>
      <c r="S121" s="633" t="str">
        <f t="shared" si="33"/>
        <v/>
      </c>
      <c r="T121" s="632" t="str">
        <f t="shared" si="34"/>
        <v/>
      </c>
      <c r="U121" s="634" t="str">
        <f t="shared" si="35"/>
        <v/>
      </c>
      <c r="V121" s="635" t="str">
        <f t="shared" si="36"/>
        <v/>
      </c>
      <c r="W121" s="633" t="str">
        <f t="shared" si="37"/>
        <v/>
      </c>
      <c r="X121" s="632" t="str">
        <f t="shared" si="38"/>
        <v/>
      </c>
      <c r="Y121" s="634" t="str">
        <f t="shared" si="39"/>
        <v/>
      </c>
      <c r="Z121" s="635" t="str">
        <f t="shared" si="40"/>
        <v/>
      </c>
      <c r="AA121" s="633" t="str">
        <f t="shared" si="41"/>
        <v/>
      </c>
      <c r="AB121" s="632" t="str">
        <f t="shared" si="42"/>
        <v/>
      </c>
      <c r="AC121" s="634" t="str">
        <f t="shared" si="43"/>
        <v/>
      </c>
      <c r="AD121" s="635" t="str">
        <f t="shared" si="44"/>
        <v/>
      </c>
      <c r="AE121" s="633" t="str">
        <f t="shared" si="45"/>
        <v/>
      </c>
      <c r="AF121" s="632" t="str">
        <f t="shared" si="46"/>
        <v/>
      </c>
      <c r="AG121" s="634" t="str">
        <f t="shared" si="47"/>
        <v/>
      </c>
      <c r="AH121" s="635" t="str">
        <f t="shared" si="48"/>
        <v/>
      </c>
      <c r="AI121" s="633" t="str">
        <f t="shared" si="49"/>
        <v/>
      </c>
      <c r="AJ121" s="632" t="str">
        <f t="shared" si="50"/>
        <v/>
      </c>
      <c r="AK121" s="636" t="str">
        <f t="shared" si="51"/>
        <v/>
      </c>
      <c r="AL121" s="637" t="str">
        <f t="shared" si="52"/>
        <v/>
      </c>
      <c r="AM121" s="633" t="str">
        <f t="shared" si="53"/>
        <v/>
      </c>
      <c r="AN121" s="38"/>
    </row>
    <row r="122" spans="1:40" ht="13.2" x14ac:dyDescent="0.25">
      <c r="A122" s="26"/>
      <c r="B122" s="38"/>
      <c r="C122" s="261" t="s">
        <v>441</v>
      </c>
      <c r="D122" s="644" t="str">
        <f>IF('WK2 - Notional General Income'!C111="","",'WK2 - Notional General Income'!C111)</f>
        <v/>
      </c>
      <c r="E122" s="635" t="str">
        <f>IF('WK2 - Notional General Income'!L111="","",'WK2 - Notional General Income'!L111/'WK2 - Notional General Income'!D111)</f>
        <v/>
      </c>
      <c r="F122" s="635" t="str">
        <f>IF('WK3 - Notional GI Yr1 YIELD'!L108="","",'WK3 - Notional GI Yr1 YIELD'!L108/'WK3 - Notional GI Yr1 YIELD'!D108)</f>
        <v/>
      </c>
      <c r="G122" s="472"/>
      <c r="H122" s="472"/>
      <c r="I122" s="472"/>
      <c r="J122" s="472"/>
      <c r="K122" s="472"/>
      <c r="L122" s="472"/>
      <c r="M122" s="38"/>
      <c r="N122" s="632" t="str">
        <f t="shared" si="28"/>
        <v/>
      </c>
      <c r="O122" s="633" t="str">
        <f t="shared" si="29"/>
        <v/>
      </c>
      <c r="P122" s="632" t="str">
        <f t="shared" si="30"/>
        <v/>
      </c>
      <c r="Q122" s="634" t="str">
        <f t="shared" si="31"/>
        <v/>
      </c>
      <c r="R122" s="635" t="str">
        <f t="shared" si="32"/>
        <v/>
      </c>
      <c r="S122" s="633" t="str">
        <f t="shared" si="33"/>
        <v/>
      </c>
      <c r="T122" s="632" t="str">
        <f t="shared" si="34"/>
        <v/>
      </c>
      <c r="U122" s="634" t="str">
        <f t="shared" si="35"/>
        <v/>
      </c>
      <c r="V122" s="635" t="str">
        <f t="shared" si="36"/>
        <v/>
      </c>
      <c r="W122" s="633" t="str">
        <f t="shared" si="37"/>
        <v/>
      </c>
      <c r="X122" s="632" t="str">
        <f t="shared" si="38"/>
        <v/>
      </c>
      <c r="Y122" s="634" t="str">
        <f t="shared" si="39"/>
        <v/>
      </c>
      <c r="Z122" s="635" t="str">
        <f t="shared" si="40"/>
        <v/>
      </c>
      <c r="AA122" s="633" t="str">
        <f t="shared" si="41"/>
        <v/>
      </c>
      <c r="AB122" s="632" t="str">
        <f t="shared" si="42"/>
        <v/>
      </c>
      <c r="AC122" s="634" t="str">
        <f t="shared" si="43"/>
        <v/>
      </c>
      <c r="AD122" s="635" t="str">
        <f t="shared" si="44"/>
        <v/>
      </c>
      <c r="AE122" s="633" t="str">
        <f t="shared" si="45"/>
        <v/>
      </c>
      <c r="AF122" s="632" t="str">
        <f t="shared" si="46"/>
        <v/>
      </c>
      <c r="AG122" s="634" t="str">
        <f t="shared" si="47"/>
        <v/>
      </c>
      <c r="AH122" s="635" t="str">
        <f t="shared" si="48"/>
        <v/>
      </c>
      <c r="AI122" s="633" t="str">
        <f t="shared" si="49"/>
        <v/>
      </c>
      <c r="AJ122" s="632" t="str">
        <f t="shared" si="50"/>
        <v/>
      </c>
      <c r="AK122" s="636" t="str">
        <f t="shared" si="51"/>
        <v/>
      </c>
      <c r="AL122" s="637" t="str">
        <f t="shared" si="52"/>
        <v/>
      </c>
      <c r="AM122" s="633" t="str">
        <f t="shared" si="53"/>
        <v/>
      </c>
      <c r="AN122" s="38"/>
    </row>
    <row r="123" spans="1:40" ht="13.2" x14ac:dyDescent="0.25">
      <c r="A123" s="26"/>
      <c r="B123" s="38"/>
      <c r="C123" s="261" t="s">
        <v>441</v>
      </c>
      <c r="D123" s="644" t="str">
        <f>IF('WK2 - Notional General Income'!C112="","",'WK2 - Notional General Income'!C112)</f>
        <v/>
      </c>
      <c r="E123" s="635" t="str">
        <f>IF('WK2 - Notional General Income'!L112="","",'WK2 - Notional General Income'!L112/'WK2 - Notional General Income'!D112)</f>
        <v/>
      </c>
      <c r="F123" s="635" t="str">
        <f>IF('WK3 - Notional GI Yr1 YIELD'!L109="","",'WK3 - Notional GI Yr1 YIELD'!L109/'WK3 - Notional GI Yr1 YIELD'!D109)</f>
        <v/>
      </c>
      <c r="G123" s="472"/>
      <c r="H123" s="472"/>
      <c r="I123" s="472"/>
      <c r="J123" s="472"/>
      <c r="K123" s="472"/>
      <c r="L123" s="472"/>
      <c r="M123" s="38"/>
      <c r="N123" s="632" t="str">
        <f t="shared" si="28"/>
        <v/>
      </c>
      <c r="O123" s="633" t="str">
        <f t="shared" si="29"/>
        <v/>
      </c>
      <c r="P123" s="632" t="str">
        <f t="shared" si="30"/>
        <v/>
      </c>
      <c r="Q123" s="634" t="str">
        <f t="shared" si="31"/>
        <v/>
      </c>
      <c r="R123" s="635" t="str">
        <f t="shared" si="32"/>
        <v/>
      </c>
      <c r="S123" s="633" t="str">
        <f t="shared" si="33"/>
        <v/>
      </c>
      <c r="T123" s="632" t="str">
        <f t="shared" si="34"/>
        <v/>
      </c>
      <c r="U123" s="634" t="str">
        <f t="shared" si="35"/>
        <v/>
      </c>
      <c r="V123" s="635" t="str">
        <f t="shared" si="36"/>
        <v/>
      </c>
      <c r="W123" s="633" t="str">
        <f t="shared" si="37"/>
        <v/>
      </c>
      <c r="X123" s="632" t="str">
        <f t="shared" si="38"/>
        <v/>
      </c>
      <c r="Y123" s="634" t="str">
        <f t="shared" si="39"/>
        <v/>
      </c>
      <c r="Z123" s="635" t="str">
        <f t="shared" si="40"/>
        <v/>
      </c>
      <c r="AA123" s="633" t="str">
        <f t="shared" si="41"/>
        <v/>
      </c>
      <c r="AB123" s="632" t="str">
        <f t="shared" si="42"/>
        <v/>
      </c>
      <c r="AC123" s="634" t="str">
        <f t="shared" si="43"/>
        <v/>
      </c>
      <c r="AD123" s="635" t="str">
        <f t="shared" si="44"/>
        <v/>
      </c>
      <c r="AE123" s="633" t="str">
        <f t="shared" si="45"/>
        <v/>
      </c>
      <c r="AF123" s="632" t="str">
        <f t="shared" si="46"/>
        <v/>
      </c>
      <c r="AG123" s="634" t="str">
        <f t="shared" si="47"/>
        <v/>
      </c>
      <c r="AH123" s="635" t="str">
        <f t="shared" si="48"/>
        <v/>
      </c>
      <c r="AI123" s="633" t="str">
        <f t="shared" si="49"/>
        <v/>
      </c>
      <c r="AJ123" s="632" t="str">
        <f t="shared" si="50"/>
        <v/>
      </c>
      <c r="AK123" s="636" t="str">
        <f t="shared" si="51"/>
        <v/>
      </c>
      <c r="AL123" s="637" t="str">
        <f t="shared" si="52"/>
        <v/>
      </c>
      <c r="AM123" s="633" t="str">
        <f t="shared" si="53"/>
        <v/>
      </c>
      <c r="AN123" s="38"/>
    </row>
    <row r="124" spans="1:40" ht="13.2" x14ac:dyDescent="0.25">
      <c r="A124" s="26"/>
      <c r="B124" s="38"/>
      <c r="C124" s="261" t="s">
        <v>441</v>
      </c>
      <c r="D124" s="644" t="str">
        <f>IF('WK2 - Notional General Income'!C113="","",'WK2 - Notional General Income'!C113)</f>
        <v/>
      </c>
      <c r="E124" s="635" t="str">
        <f>IF('WK2 - Notional General Income'!L113="","",'WK2 - Notional General Income'!L113/'WK2 - Notional General Income'!D113)</f>
        <v/>
      </c>
      <c r="F124" s="635" t="str">
        <f>IF('WK3 - Notional GI Yr1 YIELD'!L110="","",'WK3 - Notional GI Yr1 YIELD'!L110/'WK3 - Notional GI Yr1 YIELD'!D110)</f>
        <v/>
      </c>
      <c r="G124" s="472"/>
      <c r="H124" s="472"/>
      <c r="I124" s="472"/>
      <c r="J124" s="472"/>
      <c r="K124" s="472"/>
      <c r="L124" s="472"/>
      <c r="M124" s="38"/>
      <c r="N124" s="632" t="str">
        <f t="shared" si="28"/>
        <v/>
      </c>
      <c r="O124" s="633" t="str">
        <f t="shared" si="29"/>
        <v/>
      </c>
      <c r="P124" s="632" t="str">
        <f t="shared" si="30"/>
        <v/>
      </c>
      <c r="Q124" s="634" t="str">
        <f t="shared" si="31"/>
        <v/>
      </c>
      <c r="R124" s="635" t="str">
        <f t="shared" si="32"/>
        <v/>
      </c>
      <c r="S124" s="633" t="str">
        <f t="shared" si="33"/>
        <v/>
      </c>
      <c r="T124" s="632" t="str">
        <f t="shared" si="34"/>
        <v/>
      </c>
      <c r="U124" s="634" t="str">
        <f t="shared" si="35"/>
        <v/>
      </c>
      <c r="V124" s="635" t="str">
        <f t="shared" si="36"/>
        <v/>
      </c>
      <c r="W124" s="633" t="str">
        <f t="shared" si="37"/>
        <v/>
      </c>
      <c r="X124" s="632" t="str">
        <f t="shared" si="38"/>
        <v/>
      </c>
      <c r="Y124" s="634" t="str">
        <f t="shared" si="39"/>
        <v/>
      </c>
      <c r="Z124" s="635" t="str">
        <f t="shared" si="40"/>
        <v/>
      </c>
      <c r="AA124" s="633" t="str">
        <f t="shared" si="41"/>
        <v/>
      </c>
      <c r="AB124" s="632" t="str">
        <f t="shared" si="42"/>
        <v/>
      </c>
      <c r="AC124" s="634" t="str">
        <f t="shared" si="43"/>
        <v/>
      </c>
      <c r="AD124" s="635" t="str">
        <f t="shared" si="44"/>
        <v/>
      </c>
      <c r="AE124" s="633" t="str">
        <f t="shared" si="45"/>
        <v/>
      </c>
      <c r="AF124" s="632" t="str">
        <f t="shared" si="46"/>
        <v/>
      </c>
      <c r="AG124" s="634" t="str">
        <f t="shared" si="47"/>
        <v/>
      </c>
      <c r="AH124" s="635" t="str">
        <f t="shared" si="48"/>
        <v/>
      </c>
      <c r="AI124" s="633" t="str">
        <f t="shared" si="49"/>
        <v/>
      </c>
      <c r="AJ124" s="632" t="str">
        <f t="shared" si="50"/>
        <v/>
      </c>
      <c r="AK124" s="636" t="str">
        <f t="shared" si="51"/>
        <v/>
      </c>
      <c r="AL124" s="637" t="str">
        <f t="shared" si="52"/>
        <v/>
      </c>
      <c r="AM124" s="633" t="str">
        <f t="shared" si="53"/>
        <v/>
      </c>
      <c r="AN124" s="38"/>
    </row>
    <row r="125" spans="1:40" ht="13.2" x14ac:dyDescent="0.25">
      <c r="A125" s="26"/>
      <c r="B125" s="38"/>
      <c r="C125" s="261" t="s">
        <v>441</v>
      </c>
      <c r="D125" s="644" t="str">
        <f>IF('WK2 - Notional General Income'!C114="","",'WK2 - Notional General Income'!C114)</f>
        <v/>
      </c>
      <c r="E125" s="635" t="str">
        <f>IF('WK2 - Notional General Income'!L114="","",'WK2 - Notional General Income'!L114/'WK2 - Notional General Income'!D114)</f>
        <v/>
      </c>
      <c r="F125" s="635" t="str">
        <f>IF('WK3 - Notional GI Yr1 YIELD'!L111="","",'WK3 - Notional GI Yr1 YIELD'!L111/'WK3 - Notional GI Yr1 YIELD'!D111)</f>
        <v/>
      </c>
      <c r="G125" s="472"/>
      <c r="H125" s="472"/>
      <c r="I125" s="472"/>
      <c r="J125" s="472"/>
      <c r="K125" s="472"/>
      <c r="L125" s="472"/>
      <c r="M125" s="38"/>
      <c r="N125" s="632" t="str">
        <f t="shared" ref="N125:N179" si="55">IF(F125="","",IF(E125=0,"",F125-E125))</f>
        <v/>
      </c>
      <c r="O125" s="633" t="str">
        <f t="shared" ref="O125:O179" si="56">IF(N125="","",N125/E125)</f>
        <v/>
      </c>
      <c r="P125" s="632" t="str">
        <f t="shared" ref="P125:P179" si="57">IF(G125=0,"",IF(F125=0,"",G125-F125))</f>
        <v/>
      </c>
      <c r="Q125" s="634" t="str">
        <f t="shared" ref="Q125:Q178" si="58">IF(P125="","",P125/F125)</f>
        <v/>
      </c>
      <c r="R125" s="635" t="str">
        <f t="shared" ref="R125:R178" si="59">IF(P125="","",P125+N125)</f>
        <v/>
      </c>
      <c r="S125" s="633" t="str">
        <f t="shared" ref="S125:S178" si="60">IF(R125="","",R125/E125)</f>
        <v/>
      </c>
      <c r="T125" s="632" t="str">
        <f t="shared" ref="T125:T178" si="61">IF(H125=0,"",IF(G125=0,"",H125-G125))</f>
        <v/>
      </c>
      <c r="U125" s="634" t="str">
        <f t="shared" ref="U125:U178" si="62">IF(T125="","",T125/G125)</f>
        <v/>
      </c>
      <c r="V125" s="635" t="str">
        <f t="shared" ref="V125:V178" si="63">IF(T125="","",T125+R125)</f>
        <v/>
      </c>
      <c r="W125" s="633" t="str">
        <f t="shared" ref="W125:W178" si="64">IF(V125="","",V125/E125)</f>
        <v/>
      </c>
      <c r="X125" s="632" t="str">
        <f t="shared" ref="X125:X178" si="65">IF(I125=0,"",IF(H125=0,"",I125-H125))</f>
        <v/>
      </c>
      <c r="Y125" s="634" t="str">
        <f t="shared" ref="Y125:Y178" si="66">IF(X125="","",X125/H125)</f>
        <v/>
      </c>
      <c r="Z125" s="635" t="str">
        <f t="shared" ref="Z125:Z178" si="67">IF(X125="","",X125+V125)</f>
        <v/>
      </c>
      <c r="AA125" s="633" t="str">
        <f t="shared" ref="AA125:AA178" si="68">IF(Z125="","",Z125/E125)</f>
        <v/>
      </c>
      <c r="AB125" s="632" t="str">
        <f t="shared" ref="AB125:AB178" si="69">IF(J125=0,"",IF(I125=0,"",J125-I125))</f>
        <v/>
      </c>
      <c r="AC125" s="634" t="str">
        <f t="shared" ref="AC125:AC178" si="70">IF(AB125="","",AB125/I125)</f>
        <v/>
      </c>
      <c r="AD125" s="635" t="str">
        <f t="shared" ref="AD125:AD178" si="71">IF(AB125="","",AB125+Z125)</f>
        <v/>
      </c>
      <c r="AE125" s="633" t="str">
        <f t="shared" ref="AE125:AE178" si="72">IF(AD125="","",AD125/E125)</f>
        <v/>
      </c>
      <c r="AF125" s="632" t="str">
        <f t="shared" ref="AF125:AF178" si="73">IF(K125=0,"",IF(J125=0,"",K125-J125))</f>
        <v/>
      </c>
      <c r="AG125" s="634" t="str">
        <f t="shared" ref="AG125:AG178" si="74">IF(AF125="","",AF125/J125)</f>
        <v/>
      </c>
      <c r="AH125" s="635" t="str">
        <f t="shared" ref="AH125:AH178" si="75">IF(AF125="","",AF125+AD125)</f>
        <v/>
      </c>
      <c r="AI125" s="633" t="str">
        <f t="shared" ref="AI125:AI178" si="76">IF(AH125="","",AH125/E125)</f>
        <v/>
      </c>
      <c r="AJ125" s="632" t="str">
        <f t="shared" ref="AJ125:AJ178" si="77">IF(L125=0,"",IF(K125=0,"",L125-K125))</f>
        <v/>
      </c>
      <c r="AK125" s="636" t="str">
        <f t="shared" ref="AK125:AK178" si="78">IF(AJ125="","",AJ125/K125)</f>
        <v/>
      </c>
      <c r="AL125" s="637" t="str">
        <f t="shared" ref="AL125:AL178" si="79">IF(AJ125="","",AJ125+AH125)</f>
        <v/>
      </c>
      <c r="AM125" s="633" t="str">
        <f t="shared" ref="AM125:AM178" si="80">IF(AL125="","",AL125/E125)</f>
        <v/>
      </c>
      <c r="AN125" s="38"/>
    </row>
    <row r="126" spans="1:40" ht="13.2" x14ac:dyDescent="0.25">
      <c r="A126" s="26"/>
      <c r="B126" s="38"/>
      <c r="C126" s="261" t="s">
        <v>441</v>
      </c>
      <c r="D126" s="644" t="str">
        <f>IF('WK2 - Notional General Income'!C115="","",'WK2 - Notional General Income'!C115)</f>
        <v/>
      </c>
      <c r="E126" s="635" t="str">
        <f>IF('WK2 - Notional General Income'!L115="","",'WK2 - Notional General Income'!L115/'WK2 - Notional General Income'!D115)</f>
        <v/>
      </c>
      <c r="F126" s="635" t="str">
        <f>IF('WK3 - Notional GI Yr1 YIELD'!L112="","",'WK3 - Notional GI Yr1 YIELD'!L112/'WK3 - Notional GI Yr1 YIELD'!D112)</f>
        <v/>
      </c>
      <c r="G126" s="472"/>
      <c r="H126" s="472"/>
      <c r="I126" s="472"/>
      <c r="J126" s="472"/>
      <c r="K126" s="472"/>
      <c r="L126" s="472"/>
      <c r="M126" s="38"/>
      <c r="N126" s="632" t="str">
        <f t="shared" si="55"/>
        <v/>
      </c>
      <c r="O126" s="633" t="str">
        <f t="shared" si="56"/>
        <v/>
      </c>
      <c r="P126" s="632" t="str">
        <f t="shared" si="57"/>
        <v/>
      </c>
      <c r="Q126" s="634" t="str">
        <f t="shared" si="58"/>
        <v/>
      </c>
      <c r="R126" s="635" t="str">
        <f t="shared" si="59"/>
        <v/>
      </c>
      <c r="S126" s="633" t="str">
        <f t="shared" si="60"/>
        <v/>
      </c>
      <c r="T126" s="632" t="str">
        <f t="shared" si="61"/>
        <v/>
      </c>
      <c r="U126" s="634" t="str">
        <f t="shared" si="62"/>
        <v/>
      </c>
      <c r="V126" s="635" t="str">
        <f t="shared" si="63"/>
        <v/>
      </c>
      <c r="W126" s="633" t="str">
        <f t="shared" si="64"/>
        <v/>
      </c>
      <c r="X126" s="632" t="str">
        <f t="shared" si="65"/>
        <v/>
      </c>
      <c r="Y126" s="634" t="str">
        <f t="shared" si="66"/>
        <v/>
      </c>
      <c r="Z126" s="635" t="str">
        <f t="shared" si="67"/>
        <v/>
      </c>
      <c r="AA126" s="633" t="str">
        <f t="shared" si="68"/>
        <v/>
      </c>
      <c r="AB126" s="632" t="str">
        <f t="shared" si="69"/>
        <v/>
      </c>
      <c r="AC126" s="634" t="str">
        <f t="shared" si="70"/>
        <v/>
      </c>
      <c r="AD126" s="635" t="str">
        <f t="shared" si="71"/>
        <v/>
      </c>
      <c r="AE126" s="633" t="str">
        <f t="shared" si="72"/>
        <v/>
      </c>
      <c r="AF126" s="632" t="str">
        <f t="shared" si="73"/>
        <v/>
      </c>
      <c r="AG126" s="634" t="str">
        <f t="shared" si="74"/>
        <v/>
      </c>
      <c r="AH126" s="635" t="str">
        <f t="shared" si="75"/>
        <v/>
      </c>
      <c r="AI126" s="633" t="str">
        <f t="shared" si="76"/>
        <v/>
      </c>
      <c r="AJ126" s="632" t="str">
        <f t="shared" si="77"/>
        <v/>
      </c>
      <c r="AK126" s="636" t="str">
        <f t="shared" si="78"/>
        <v/>
      </c>
      <c r="AL126" s="637" t="str">
        <f t="shared" si="79"/>
        <v/>
      </c>
      <c r="AM126" s="633" t="str">
        <f t="shared" si="80"/>
        <v/>
      </c>
      <c r="AN126" s="38"/>
    </row>
    <row r="127" spans="1:40" ht="13.2" x14ac:dyDescent="0.25">
      <c r="A127" s="26"/>
      <c r="B127" s="38"/>
      <c r="C127" s="261" t="s">
        <v>441</v>
      </c>
      <c r="D127" s="644" t="str">
        <f>IF('WK2 - Notional General Income'!C116="","",'WK2 - Notional General Income'!C116)</f>
        <v/>
      </c>
      <c r="E127" s="635" t="str">
        <f>IF('WK2 - Notional General Income'!L116="","",'WK2 - Notional General Income'!L116/'WK2 - Notional General Income'!D116)</f>
        <v/>
      </c>
      <c r="F127" s="635" t="str">
        <f>IF('WK3 - Notional GI Yr1 YIELD'!L113="","",'WK3 - Notional GI Yr1 YIELD'!L113/'WK3 - Notional GI Yr1 YIELD'!D113)</f>
        <v/>
      </c>
      <c r="G127" s="472"/>
      <c r="H127" s="472"/>
      <c r="I127" s="472"/>
      <c r="J127" s="472"/>
      <c r="K127" s="472"/>
      <c r="L127" s="472"/>
      <c r="M127" s="38"/>
      <c r="N127" s="632" t="str">
        <f t="shared" si="55"/>
        <v/>
      </c>
      <c r="O127" s="633" t="str">
        <f t="shared" si="56"/>
        <v/>
      </c>
      <c r="P127" s="632" t="str">
        <f t="shared" si="57"/>
        <v/>
      </c>
      <c r="Q127" s="634" t="str">
        <f t="shared" si="58"/>
        <v/>
      </c>
      <c r="R127" s="635" t="str">
        <f t="shared" si="59"/>
        <v/>
      </c>
      <c r="S127" s="633" t="str">
        <f t="shared" si="60"/>
        <v/>
      </c>
      <c r="T127" s="632" t="str">
        <f t="shared" si="61"/>
        <v/>
      </c>
      <c r="U127" s="634" t="str">
        <f t="shared" si="62"/>
        <v/>
      </c>
      <c r="V127" s="635" t="str">
        <f t="shared" si="63"/>
        <v/>
      </c>
      <c r="W127" s="633" t="str">
        <f t="shared" si="64"/>
        <v/>
      </c>
      <c r="X127" s="632" t="str">
        <f t="shared" si="65"/>
        <v/>
      </c>
      <c r="Y127" s="634" t="str">
        <f t="shared" si="66"/>
        <v/>
      </c>
      <c r="Z127" s="635" t="str">
        <f t="shared" si="67"/>
        <v/>
      </c>
      <c r="AA127" s="633" t="str">
        <f t="shared" si="68"/>
        <v/>
      </c>
      <c r="AB127" s="632" t="str">
        <f t="shared" si="69"/>
        <v/>
      </c>
      <c r="AC127" s="634" t="str">
        <f t="shared" si="70"/>
        <v/>
      </c>
      <c r="AD127" s="635" t="str">
        <f t="shared" si="71"/>
        <v/>
      </c>
      <c r="AE127" s="633" t="str">
        <f t="shared" si="72"/>
        <v/>
      </c>
      <c r="AF127" s="632" t="str">
        <f t="shared" si="73"/>
        <v/>
      </c>
      <c r="AG127" s="634" t="str">
        <f t="shared" si="74"/>
        <v/>
      </c>
      <c r="AH127" s="635" t="str">
        <f t="shared" si="75"/>
        <v/>
      </c>
      <c r="AI127" s="633" t="str">
        <f t="shared" si="76"/>
        <v/>
      </c>
      <c r="AJ127" s="632" t="str">
        <f t="shared" si="77"/>
        <v/>
      </c>
      <c r="AK127" s="636" t="str">
        <f t="shared" si="78"/>
        <v/>
      </c>
      <c r="AL127" s="637" t="str">
        <f t="shared" si="79"/>
        <v/>
      </c>
      <c r="AM127" s="633" t="str">
        <f t="shared" si="80"/>
        <v/>
      </c>
      <c r="AN127" s="38"/>
    </row>
    <row r="128" spans="1:40" ht="13.2" x14ac:dyDescent="0.25">
      <c r="A128" s="26"/>
      <c r="B128" s="38"/>
      <c r="C128" s="261" t="s">
        <v>441</v>
      </c>
      <c r="D128" s="644" t="str">
        <f>IF('WK2 - Notional General Income'!C117="","",'WK2 - Notional General Income'!C117)</f>
        <v/>
      </c>
      <c r="E128" s="635" t="str">
        <f>IF('WK2 - Notional General Income'!L117="","",'WK2 - Notional General Income'!L117/'WK2 - Notional General Income'!D117)</f>
        <v/>
      </c>
      <c r="F128" s="635" t="str">
        <f>IF('WK3 - Notional GI Yr1 YIELD'!L114="","",'WK3 - Notional GI Yr1 YIELD'!L114/'WK3 - Notional GI Yr1 YIELD'!D114)</f>
        <v/>
      </c>
      <c r="G128" s="472"/>
      <c r="H128" s="472"/>
      <c r="I128" s="472"/>
      <c r="J128" s="472"/>
      <c r="K128" s="472"/>
      <c r="L128" s="472"/>
      <c r="M128" s="38"/>
      <c r="N128" s="632" t="str">
        <f t="shared" si="55"/>
        <v/>
      </c>
      <c r="O128" s="633" t="str">
        <f t="shared" si="56"/>
        <v/>
      </c>
      <c r="P128" s="632" t="str">
        <f t="shared" si="57"/>
        <v/>
      </c>
      <c r="Q128" s="634" t="str">
        <f t="shared" si="58"/>
        <v/>
      </c>
      <c r="R128" s="635" t="str">
        <f t="shared" si="59"/>
        <v/>
      </c>
      <c r="S128" s="633" t="str">
        <f t="shared" si="60"/>
        <v/>
      </c>
      <c r="T128" s="632" t="str">
        <f t="shared" si="61"/>
        <v/>
      </c>
      <c r="U128" s="634" t="str">
        <f t="shared" si="62"/>
        <v/>
      </c>
      <c r="V128" s="635" t="str">
        <f t="shared" si="63"/>
        <v/>
      </c>
      <c r="W128" s="633" t="str">
        <f t="shared" si="64"/>
        <v/>
      </c>
      <c r="X128" s="632" t="str">
        <f t="shared" si="65"/>
        <v/>
      </c>
      <c r="Y128" s="634" t="str">
        <f t="shared" si="66"/>
        <v/>
      </c>
      <c r="Z128" s="635" t="str">
        <f t="shared" si="67"/>
        <v/>
      </c>
      <c r="AA128" s="633" t="str">
        <f t="shared" si="68"/>
        <v/>
      </c>
      <c r="AB128" s="632" t="str">
        <f t="shared" si="69"/>
        <v/>
      </c>
      <c r="AC128" s="634" t="str">
        <f t="shared" si="70"/>
        <v/>
      </c>
      <c r="AD128" s="635" t="str">
        <f t="shared" si="71"/>
        <v/>
      </c>
      <c r="AE128" s="633" t="str">
        <f t="shared" si="72"/>
        <v/>
      </c>
      <c r="AF128" s="632" t="str">
        <f t="shared" si="73"/>
        <v/>
      </c>
      <c r="AG128" s="634" t="str">
        <f t="shared" si="74"/>
        <v/>
      </c>
      <c r="AH128" s="635" t="str">
        <f t="shared" si="75"/>
        <v/>
      </c>
      <c r="AI128" s="633" t="str">
        <f t="shared" si="76"/>
        <v/>
      </c>
      <c r="AJ128" s="632" t="str">
        <f t="shared" si="77"/>
        <v/>
      </c>
      <c r="AK128" s="636" t="str">
        <f t="shared" si="78"/>
        <v/>
      </c>
      <c r="AL128" s="637" t="str">
        <f t="shared" si="79"/>
        <v/>
      </c>
      <c r="AM128" s="633" t="str">
        <f t="shared" si="80"/>
        <v/>
      </c>
      <c r="AN128" s="38"/>
    </row>
    <row r="129" spans="1:40" ht="13.2" x14ac:dyDescent="0.25">
      <c r="A129" s="26"/>
      <c r="B129" s="38"/>
      <c r="C129" s="261" t="s">
        <v>441</v>
      </c>
      <c r="D129" s="644" t="str">
        <f>IF('WK2 - Notional General Income'!C118="","",'WK2 - Notional General Income'!C118)</f>
        <v/>
      </c>
      <c r="E129" s="635" t="str">
        <f>IF('WK2 - Notional General Income'!L118="","",'WK2 - Notional General Income'!L118/'WK2 - Notional General Income'!D118)</f>
        <v/>
      </c>
      <c r="F129" s="635" t="str">
        <f>IF('WK3 - Notional GI Yr1 YIELD'!L115="","",'WK3 - Notional GI Yr1 YIELD'!L115/'WK3 - Notional GI Yr1 YIELD'!D115)</f>
        <v/>
      </c>
      <c r="G129" s="472"/>
      <c r="H129" s="472"/>
      <c r="I129" s="472"/>
      <c r="J129" s="472"/>
      <c r="K129" s="472"/>
      <c r="L129" s="472"/>
      <c r="M129" s="38"/>
      <c r="N129" s="632" t="str">
        <f t="shared" si="55"/>
        <v/>
      </c>
      <c r="O129" s="633" t="str">
        <f t="shared" si="56"/>
        <v/>
      </c>
      <c r="P129" s="632" t="str">
        <f t="shared" si="57"/>
        <v/>
      </c>
      <c r="Q129" s="634" t="str">
        <f t="shared" si="58"/>
        <v/>
      </c>
      <c r="R129" s="635" t="str">
        <f t="shared" si="59"/>
        <v/>
      </c>
      <c r="S129" s="633" t="str">
        <f t="shared" si="60"/>
        <v/>
      </c>
      <c r="T129" s="632" t="str">
        <f t="shared" si="61"/>
        <v/>
      </c>
      <c r="U129" s="634" t="str">
        <f t="shared" si="62"/>
        <v/>
      </c>
      <c r="V129" s="635" t="str">
        <f t="shared" si="63"/>
        <v/>
      </c>
      <c r="W129" s="633" t="str">
        <f t="shared" si="64"/>
        <v/>
      </c>
      <c r="X129" s="632" t="str">
        <f t="shared" si="65"/>
        <v/>
      </c>
      <c r="Y129" s="634" t="str">
        <f t="shared" si="66"/>
        <v/>
      </c>
      <c r="Z129" s="635" t="str">
        <f t="shared" si="67"/>
        <v/>
      </c>
      <c r="AA129" s="633" t="str">
        <f t="shared" si="68"/>
        <v/>
      </c>
      <c r="AB129" s="632" t="str">
        <f t="shared" si="69"/>
        <v/>
      </c>
      <c r="AC129" s="634" t="str">
        <f t="shared" si="70"/>
        <v/>
      </c>
      <c r="AD129" s="635" t="str">
        <f t="shared" si="71"/>
        <v/>
      </c>
      <c r="AE129" s="633" t="str">
        <f t="shared" si="72"/>
        <v/>
      </c>
      <c r="AF129" s="632" t="str">
        <f t="shared" si="73"/>
        <v/>
      </c>
      <c r="AG129" s="634" t="str">
        <f t="shared" si="74"/>
        <v/>
      </c>
      <c r="AH129" s="635" t="str">
        <f t="shared" si="75"/>
        <v/>
      </c>
      <c r="AI129" s="633" t="str">
        <f t="shared" si="76"/>
        <v/>
      </c>
      <c r="AJ129" s="632" t="str">
        <f t="shared" si="77"/>
        <v/>
      </c>
      <c r="AK129" s="636" t="str">
        <f t="shared" si="78"/>
        <v/>
      </c>
      <c r="AL129" s="637" t="str">
        <f t="shared" si="79"/>
        <v/>
      </c>
      <c r="AM129" s="633" t="str">
        <f t="shared" si="80"/>
        <v/>
      </c>
      <c r="AN129" s="38"/>
    </row>
    <row r="130" spans="1:40" ht="13.2" x14ac:dyDescent="0.25">
      <c r="A130" s="26"/>
      <c r="B130" s="38"/>
      <c r="C130" s="261" t="s">
        <v>441</v>
      </c>
      <c r="D130" s="644" t="str">
        <f>IF('WK2 - Notional General Income'!C119="","",'WK2 - Notional General Income'!C119)</f>
        <v/>
      </c>
      <c r="E130" s="635" t="str">
        <f>IF('WK2 - Notional General Income'!L119="","",'WK2 - Notional General Income'!L119/'WK2 - Notional General Income'!D119)</f>
        <v/>
      </c>
      <c r="F130" s="635" t="str">
        <f>IF('WK3 - Notional GI Yr1 YIELD'!L116="","",'WK3 - Notional GI Yr1 YIELD'!L116/'WK3 - Notional GI Yr1 YIELD'!D116)</f>
        <v/>
      </c>
      <c r="G130" s="472"/>
      <c r="H130" s="472"/>
      <c r="I130" s="472"/>
      <c r="J130" s="472"/>
      <c r="K130" s="472"/>
      <c r="L130" s="472"/>
      <c r="M130" s="38"/>
      <c r="N130" s="632" t="str">
        <f t="shared" si="55"/>
        <v/>
      </c>
      <c r="O130" s="633" t="str">
        <f t="shared" si="56"/>
        <v/>
      </c>
      <c r="P130" s="632" t="str">
        <f t="shared" si="57"/>
        <v/>
      </c>
      <c r="Q130" s="634" t="str">
        <f t="shared" si="58"/>
        <v/>
      </c>
      <c r="R130" s="635" t="str">
        <f t="shared" si="59"/>
        <v/>
      </c>
      <c r="S130" s="633" t="str">
        <f t="shared" si="60"/>
        <v/>
      </c>
      <c r="T130" s="632" t="str">
        <f t="shared" si="61"/>
        <v/>
      </c>
      <c r="U130" s="634" t="str">
        <f t="shared" si="62"/>
        <v/>
      </c>
      <c r="V130" s="635" t="str">
        <f t="shared" si="63"/>
        <v/>
      </c>
      <c r="W130" s="633" t="str">
        <f t="shared" si="64"/>
        <v/>
      </c>
      <c r="X130" s="632" t="str">
        <f t="shared" si="65"/>
        <v/>
      </c>
      <c r="Y130" s="634" t="str">
        <f t="shared" si="66"/>
        <v/>
      </c>
      <c r="Z130" s="635" t="str">
        <f t="shared" si="67"/>
        <v/>
      </c>
      <c r="AA130" s="633" t="str">
        <f t="shared" si="68"/>
        <v/>
      </c>
      <c r="AB130" s="632" t="str">
        <f t="shared" si="69"/>
        <v/>
      </c>
      <c r="AC130" s="634" t="str">
        <f t="shared" si="70"/>
        <v/>
      </c>
      <c r="AD130" s="635" t="str">
        <f t="shared" si="71"/>
        <v/>
      </c>
      <c r="AE130" s="633" t="str">
        <f t="shared" si="72"/>
        <v/>
      </c>
      <c r="AF130" s="632" t="str">
        <f t="shared" si="73"/>
        <v/>
      </c>
      <c r="AG130" s="634" t="str">
        <f t="shared" si="74"/>
        <v/>
      </c>
      <c r="AH130" s="635" t="str">
        <f t="shared" si="75"/>
        <v/>
      </c>
      <c r="AI130" s="633" t="str">
        <f t="shared" si="76"/>
        <v/>
      </c>
      <c r="AJ130" s="632" t="str">
        <f t="shared" si="77"/>
        <v/>
      </c>
      <c r="AK130" s="636" t="str">
        <f t="shared" si="78"/>
        <v/>
      </c>
      <c r="AL130" s="637" t="str">
        <f t="shared" si="79"/>
        <v/>
      </c>
      <c r="AM130" s="633" t="str">
        <f t="shared" si="80"/>
        <v/>
      </c>
      <c r="AN130" s="38"/>
    </row>
    <row r="131" spans="1:40" ht="13.2" x14ac:dyDescent="0.25">
      <c r="A131" s="26"/>
      <c r="B131" s="38"/>
      <c r="C131" s="261" t="s">
        <v>441</v>
      </c>
      <c r="D131" s="644" t="str">
        <f>IF('WK2 - Notional General Income'!C120="","",'WK2 - Notional General Income'!C120)</f>
        <v/>
      </c>
      <c r="E131" s="635" t="str">
        <f>IF('WK2 - Notional General Income'!L120="","",'WK2 - Notional General Income'!L120/'WK2 - Notional General Income'!D120)</f>
        <v/>
      </c>
      <c r="F131" s="635" t="str">
        <f>IF('WK3 - Notional GI Yr1 YIELD'!L117="","",'WK3 - Notional GI Yr1 YIELD'!L117/'WK3 - Notional GI Yr1 YIELD'!D117)</f>
        <v/>
      </c>
      <c r="G131" s="472"/>
      <c r="H131" s="472"/>
      <c r="I131" s="472"/>
      <c r="J131" s="472"/>
      <c r="K131" s="472"/>
      <c r="L131" s="472"/>
      <c r="M131" s="38"/>
      <c r="N131" s="632" t="str">
        <f t="shared" si="55"/>
        <v/>
      </c>
      <c r="O131" s="633" t="str">
        <f t="shared" si="56"/>
        <v/>
      </c>
      <c r="P131" s="632" t="str">
        <f t="shared" si="57"/>
        <v/>
      </c>
      <c r="Q131" s="634" t="str">
        <f t="shared" si="58"/>
        <v/>
      </c>
      <c r="R131" s="635" t="str">
        <f t="shared" si="59"/>
        <v/>
      </c>
      <c r="S131" s="633" t="str">
        <f t="shared" si="60"/>
        <v/>
      </c>
      <c r="T131" s="632" t="str">
        <f t="shared" si="61"/>
        <v/>
      </c>
      <c r="U131" s="634" t="str">
        <f t="shared" si="62"/>
        <v/>
      </c>
      <c r="V131" s="635" t="str">
        <f t="shared" si="63"/>
        <v/>
      </c>
      <c r="W131" s="633" t="str">
        <f t="shared" si="64"/>
        <v/>
      </c>
      <c r="X131" s="632" t="str">
        <f t="shared" si="65"/>
        <v/>
      </c>
      <c r="Y131" s="634" t="str">
        <f t="shared" si="66"/>
        <v/>
      </c>
      <c r="Z131" s="635" t="str">
        <f t="shared" si="67"/>
        <v/>
      </c>
      <c r="AA131" s="633" t="str">
        <f t="shared" si="68"/>
        <v/>
      </c>
      <c r="AB131" s="632" t="str">
        <f t="shared" si="69"/>
        <v/>
      </c>
      <c r="AC131" s="634" t="str">
        <f t="shared" si="70"/>
        <v/>
      </c>
      <c r="AD131" s="635" t="str">
        <f t="shared" si="71"/>
        <v/>
      </c>
      <c r="AE131" s="633" t="str">
        <f t="shared" si="72"/>
        <v/>
      </c>
      <c r="AF131" s="632" t="str">
        <f t="shared" si="73"/>
        <v/>
      </c>
      <c r="AG131" s="634" t="str">
        <f t="shared" si="74"/>
        <v/>
      </c>
      <c r="AH131" s="635" t="str">
        <f t="shared" si="75"/>
        <v/>
      </c>
      <c r="AI131" s="633" t="str">
        <f t="shared" si="76"/>
        <v/>
      </c>
      <c r="AJ131" s="632" t="str">
        <f t="shared" si="77"/>
        <v/>
      </c>
      <c r="AK131" s="636" t="str">
        <f t="shared" si="78"/>
        <v/>
      </c>
      <c r="AL131" s="637" t="str">
        <f t="shared" si="79"/>
        <v/>
      </c>
      <c r="AM131" s="633" t="str">
        <f t="shared" si="80"/>
        <v/>
      </c>
      <c r="AN131" s="38"/>
    </row>
    <row r="132" spans="1:40" ht="13.2" x14ac:dyDescent="0.25">
      <c r="A132" s="26"/>
      <c r="B132" s="38"/>
      <c r="C132" s="261" t="s">
        <v>441</v>
      </c>
      <c r="D132" s="644" t="str">
        <f>IF('WK2 - Notional General Income'!C121="","",'WK2 - Notional General Income'!C121)</f>
        <v/>
      </c>
      <c r="E132" s="635" t="str">
        <f>IF('WK2 - Notional General Income'!L121="","",'WK2 - Notional General Income'!L121/'WK2 - Notional General Income'!D121)</f>
        <v/>
      </c>
      <c r="F132" s="635" t="str">
        <f>IF('WK3 - Notional GI Yr1 YIELD'!L118="","",'WK3 - Notional GI Yr1 YIELD'!L118/'WK3 - Notional GI Yr1 YIELD'!D118)</f>
        <v/>
      </c>
      <c r="G132" s="472"/>
      <c r="H132" s="472"/>
      <c r="I132" s="472"/>
      <c r="J132" s="472"/>
      <c r="K132" s="472"/>
      <c r="L132" s="472"/>
      <c r="M132" s="38"/>
      <c r="N132" s="632" t="str">
        <f t="shared" si="55"/>
        <v/>
      </c>
      <c r="O132" s="633" t="str">
        <f t="shared" si="56"/>
        <v/>
      </c>
      <c r="P132" s="632" t="str">
        <f t="shared" si="57"/>
        <v/>
      </c>
      <c r="Q132" s="634" t="str">
        <f t="shared" si="58"/>
        <v/>
      </c>
      <c r="R132" s="635" t="str">
        <f t="shared" si="59"/>
        <v/>
      </c>
      <c r="S132" s="633" t="str">
        <f t="shared" si="60"/>
        <v/>
      </c>
      <c r="T132" s="632" t="str">
        <f t="shared" si="61"/>
        <v/>
      </c>
      <c r="U132" s="634" t="str">
        <f t="shared" si="62"/>
        <v/>
      </c>
      <c r="V132" s="635" t="str">
        <f t="shared" si="63"/>
        <v/>
      </c>
      <c r="W132" s="633" t="str">
        <f t="shared" si="64"/>
        <v/>
      </c>
      <c r="X132" s="632" t="str">
        <f t="shared" si="65"/>
        <v/>
      </c>
      <c r="Y132" s="634" t="str">
        <f t="shared" si="66"/>
        <v/>
      </c>
      <c r="Z132" s="635" t="str">
        <f t="shared" si="67"/>
        <v/>
      </c>
      <c r="AA132" s="633" t="str">
        <f t="shared" si="68"/>
        <v/>
      </c>
      <c r="AB132" s="632" t="str">
        <f t="shared" si="69"/>
        <v/>
      </c>
      <c r="AC132" s="634" t="str">
        <f t="shared" si="70"/>
        <v/>
      </c>
      <c r="AD132" s="635" t="str">
        <f t="shared" si="71"/>
        <v/>
      </c>
      <c r="AE132" s="633" t="str">
        <f t="shared" si="72"/>
        <v/>
      </c>
      <c r="AF132" s="632" t="str">
        <f t="shared" si="73"/>
        <v/>
      </c>
      <c r="AG132" s="634" t="str">
        <f t="shared" si="74"/>
        <v/>
      </c>
      <c r="AH132" s="635" t="str">
        <f t="shared" si="75"/>
        <v/>
      </c>
      <c r="AI132" s="633" t="str">
        <f t="shared" si="76"/>
        <v/>
      </c>
      <c r="AJ132" s="632" t="str">
        <f t="shared" si="77"/>
        <v/>
      </c>
      <c r="AK132" s="636" t="str">
        <f t="shared" si="78"/>
        <v/>
      </c>
      <c r="AL132" s="637" t="str">
        <f t="shared" si="79"/>
        <v/>
      </c>
      <c r="AM132" s="633" t="str">
        <f t="shared" si="80"/>
        <v/>
      </c>
      <c r="AN132" s="38"/>
    </row>
    <row r="133" spans="1:40" ht="13.2" x14ac:dyDescent="0.25">
      <c r="A133" s="26"/>
      <c r="B133" s="38"/>
      <c r="C133" s="261" t="s">
        <v>441</v>
      </c>
      <c r="D133" s="644" t="str">
        <f>IF('WK2 - Notional General Income'!C122="","",'WK2 - Notional General Income'!C122)</f>
        <v/>
      </c>
      <c r="E133" s="635" t="str">
        <f>IF('WK2 - Notional General Income'!L122="","",'WK2 - Notional General Income'!L122/'WK2 - Notional General Income'!D122)</f>
        <v/>
      </c>
      <c r="F133" s="635" t="str">
        <f>IF('WK3 - Notional GI Yr1 YIELD'!L119="","",'WK3 - Notional GI Yr1 YIELD'!L119/'WK3 - Notional GI Yr1 YIELD'!D119)</f>
        <v/>
      </c>
      <c r="G133" s="472"/>
      <c r="H133" s="472"/>
      <c r="I133" s="472"/>
      <c r="J133" s="472"/>
      <c r="K133" s="472"/>
      <c r="L133" s="472"/>
      <c r="M133" s="38"/>
      <c r="N133" s="632" t="str">
        <f t="shared" si="55"/>
        <v/>
      </c>
      <c r="O133" s="633" t="str">
        <f t="shared" si="56"/>
        <v/>
      </c>
      <c r="P133" s="632" t="str">
        <f t="shared" si="57"/>
        <v/>
      </c>
      <c r="Q133" s="634" t="str">
        <f t="shared" si="58"/>
        <v/>
      </c>
      <c r="R133" s="635" t="str">
        <f t="shared" si="59"/>
        <v/>
      </c>
      <c r="S133" s="633" t="str">
        <f t="shared" si="60"/>
        <v/>
      </c>
      <c r="T133" s="632" t="str">
        <f t="shared" si="61"/>
        <v/>
      </c>
      <c r="U133" s="634" t="str">
        <f t="shared" si="62"/>
        <v/>
      </c>
      <c r="V133" s="635" t="str">
        <f t="shared" si="63"/>
        <v/>
      </c>
      <c r="W133" s="633" t="str">
        <f t="shared" si="64"/>
        <v/>
      </c>
      <c r="X133" s="632" t="str">
        <f t="shared" si="65"/>
        <v/>
      </c>
      <c r="Y133" s="634" t="str">
        <f t="shared" si="66"/>
        <v/>
      </c>
      <c r="Z133" s="635" t="str">
        <f t="shared" si="67"/>
        <v/>
      </c>
      <c r="AA133" s="633" t="str">
        <f t="shared" si="68"/>
        <v/>
      </c>
      <c r="AB133" s="632" t="str">
        <f t="shared" si="69"/>
        <v/>
      </c>
      <c r="AC133" s="634" t="str">
        <f t="shared" si="70"/>
        <v/>
      </c>
      <c r="AD133" s="635" t="str">
        <f t="shared" si="71"/>
        <v/>
      </c>
      <c r="AE133" s="633" t="str">
        <f t="shared" si="72"/>
        <v/>
      </c>
      <c r="AF133" s="632" t="str">
        <f t="shared" si="73"/>
        <v/>
      </c>
      <c r="AG133" s="634" t="str">
        <f t="shared" si="74"/>
        <v/>
      </c>
      <c r="AH133" s="635" t="str">
        <f t="shared" si="75"/>
        <v/>
      </c>
      <c r="AI133" s="633" t="str">
        <f t="shared" si="76"/>
        <v/>
      </c>
      <c r="AJ133" s="632" t="str">
        <f t="shared" si="77"/>
        <v/>
      </c>
      <c r="AK133" s="636" t="str">
        <f t="shared" si="78"/>
        <v/>
      </c>
      <c r="AL133" s="637" t="str">
        <f t="shared" si="79"/>
        <v/>
      </c>
      <c r="AM133" s="633" t="str">
        <f t="shared" si="80"/>
        <v/>
      </c>
      <c r="AN133" s="38"/>
    </row>
    <row r="134" spans="1:40" ht="13.2" x14ac:dyDescent="0.25">
      <c r="A134" s="26"/>
      <c r="B134" s="38"/>
      <c r="C134" s="261" t="s">
        <v>441</v>
      </c>
      <c r="D134" s="644" t="str">
        <f>IF('WK2 - Notional General Income'!C123="","",'WK2 - Notional General Income'!C123)</f>
        <v/>
      </c>
      <c r="E134" s="635" t="str">
        <f>IF('WK2 - Notional General Income'!L123="","",'WK2 - Notional General Income'!L123/'WK2 - Notional General Income'!D123)</f>
        <v/>
      </c>
      <c r="F134" s="635" t="str">
        <f>IF('WK3 - Notional GI Yr1 YIELD'!L120="","",'WK3 - Notional GI Yr1 YIELD'!L120/'WK3 - Notional GI Yr1 YIELD'!D120)</f>
        <v/>
      </c>
      <c r="G134" s="472"/>
      <c r="H134" s="472"/>
      <c r="I134" s="472"/>
      <c r="J134" s="472"/>
      <c r="K134" s="472"/>
      <c r="L134" s="472"/>
      <c r="M134" s="38"/>
      <c r="N134" s="632" t="str">
        <f t="shared" si="55"/>
        <v/>
      </c>
      <c r="O134" s="633" t="str">
        <f t="shared" si="56"/>
        <v/>
      </c>
      <c r="P134" s="632" t="str">
        <f t="shared" si="57"/>
        <v/>
      </c>
      <c r="Q134" s="634" t="str">
        <f t="shared" si="58"/>
        <v/>
      </c>
      <c r="R134" s="635" t="str">
        <f t="shared" si="59"/>
        <v/>
      </c>
      <c r="S134" s="633" t="str">
        <f t="shared" si="60"/>
        <v/>
      </c>
      <c r="T134" s="632" t="str">
        <f t="shared" si="61"/>
        <v/>
      </c>
      <c r="U134" s="634" t="str">
        <f t="shared" si="62"/>
        <v/>
      </c>
      <c r="V134" s="635" t="str">
        <f t="shared" si="63"/>
        <v/>
      </c>
      <c r="W134" s="633" t="str">
        <f t="shared" si="64"/>
        <v/>
      </c>
      <c r="X134" s="632" t="str">
        <f t="shared" si="65"/>
        <v/>
      </c>
      <c r="Y134" s="634" t="str">
        <f t="shared" si="66"/>
        <v/>
      </c>
      <c r="Z134" s="635" t="str">
        <f t="shared" si="67"/>
        <v/>
      </c>
      <c r="AA134" s="633" t="str">
        <f t="shared" si="68"/>
        <v/>
      </c>
      <c r="AB134" s="632" t="str">
        <f t="shared" si="69"/>
        <v/>
      </c>
      <c r="AC134" s="634" t="str">
        <f t="shared" si="70"/>
        <v/>
      </c>
      <c r="AD134" s="635" t="str">
        <f t="shared" si="71"/>
        <v/>
      </c>
      <c r="AE134" s="633" t="str">
        <f t="shared" si="72"/>
        <v/>
      </c>
      <c r="AF134" s="632" t="str">
        <f t="shared" si="73"/>
        <v/>
      </c>
      <c r="AG134" s="634" t="str">
        <f t="shared" si="74"/>
        <v/>
      </c>
      <c r="AH134" s="635" t="str">
        <f t="shared" si="75"/>
        <v/>
      </c>
      <c r="AI134" s="633" t="str">
        <f t="shared" si="76"/>
        <v/>
      </c>
      <c r="AJ134" s="632" t="str">
        <f t="shared" si="77"/>
        <v/>
      </c>
      <c r="AK134" s="636" t="str">
        <f t="shared" si="78"/>
        <v/>
      </c>
      <c r="AL134" s="637" t="str">
        <f t="shared" si="79"/>
        <v/>
      </c>
      <c r="AM134" s="633" t="str">
        <f t="shared" si="80"/>
        <v/>
      </c>
      <c r="AN134" s="38"/>
    </row>
    <row r="135" spans="1:40" ht="13.2" x14ac:dyDescent="0.25">
      <c r="A135" s="26"/>
      <c r="B135" s="38"/>
      <c r="C135" s="261" t="s">
        <v>441</v>
      </c>
      <c r="D135" s="644" t="str">
        <f>IF('WK2 - Notional General Income'!C124="","",'WK2 - Notional General Income'!C124)</f>
        <v/>
      </c>
      <c r="E135" s="635" t="str">
        <f>IF('WK2 - Notional General Income'!L124="","",'WK2 - Notional General Income'!L124/'WK2 - Notional General Income'!D124)</f>
        <v/>
      </c>
      <c r="F135" s="635" t="str">
        <f>IF('WK3 - Notional GI Yr1 YIELD'!L121="","",'WK3 - Notional GI Yr1 YIELD'!L121/'WK3 - Notional GI Yr1 YIELD'!D121)</f>
        <v/>
      </c>
      <c r="G135" s="472"/>
      <c r="H135" s="472"/>
      <c r="I135" s="472"/>
      <c r="J135" s="472"/>
      <c r="K135" s="472"/>
      <c r="L135" s="472"/>
      <c r="M135" s="38"/>
      <c r="N135" s="632" t="str">
        <f t="shared" si="55"/>
        <v/>
      </c>
      <c r="O135" s="633" t="str">
        <f t="shared" si="56"/>
        <v/>
      </c>
      <c r="P135" s="632" t="str">
        <f t="shared" si="57"/>
        <v/>
      </c>
      <c r="Q135" s="634" t="str">
        <f t="shared" si="58"/>
        <v/>
      </c>
      <c r="R135" s="635" t="str">
        <f t="shared" si="59"/>
        <v/>
      </c>
      <c r="S135" s="633" t="str">
        <f t="shared" si="60"/>
        <v/>
      </c>
      <c r="T135" s="632" t="str">
        <f t="shared" si="61"/>
        <v/>
      </c>
      <c r="U135" s="634" t="str">
        <f t="shared" si="62"/>
        <v/>
      </c>
      <c r="V135" s="635" t="str">
        <f t="shared" si="63"/>
        <v/>
      </c>
      <c r="W135" s="633" t="str">
        <f t="shared" si="64"/>
        <v/>
      </c>
      <c r="X135" s="632" t="str">
        <f t="shared" si="65"/>
        <v/>
      </c>
      <c r="Y135" s="634" t="str">
        <f t="shared" si="66"/>
        <v/>
      </c>
      <c r="Z135" s="635" t="str">
        <f t="shared" si="67"/>
        <v/>
      </c>
      <c r="AA135" s="633" t="str">
        <f t="shared" si="68"/>
        <v/>
      </c>
      <c r="AB135" s="632" t="str">
        <f t="shared" si="69"/>
        <v/>
      </c>
      <c r="AC135" s="634" t="str">
        <f t="shared" si="70"/>
        <v/>
      </c>
      <c r="AD135" s="635" t="str">
        <f t="shared" si="71"/>
        <v/>
      </c>
      <c r="AE135" s="633" t="str">
        <f t="shared" si="72"/>
        <v/>
      </c>
      <c r="AF135" s="632" t="str">
        <f t="shared" si="73"/>
        <v/>
      </c>
      <c r="AG135" s="634" t="str">
        <f t="shared" si="74"/>
        <v/>
      </c>
      <c r="AH135" s="635" t="str">
        <f t="shared" si="75"/>
        <v/>
      </c>
      <c r="AI135" s="633" t="str">
        <f t="shared" si="76"/>
        <v/>
      </c>
      <c r="AJ135" s="632" t="str">
        <f t="shared" si="77"/>
        <v/>
      </c>
      <c r="AK135" s="636" t="str">
        <f t="shared" si="78"/>
        <v/>
      </c>
      <c r="AL135" s="637" t="str">
        <f t="shared" si="79"/>
        <v/>
      </c>
      <c r="AM135" s="633" t="str">
        <f t="shared" si="80"/>
        <v/>
      </c>
      <c r="AN135" s="38"/>
    </row>
    <row r="136" spans="1:40" s="162" customFormat="1" ht="13.2" x14ac:dyDescent="0.25">
      <c r="A136" s="454"/>
      <c r="B136" s="455"/>
      <c r="C136" s="473"/>
      <c r="D136" s="473" t="s">
        <v>419</v>
      </c>
      <c r="E136" s="635">
        <f>IF(SUM(E91:E135)=0,"",('WK2 - Notional General Income'!L63+SUM('WK2 - Notional General Income'!L105:L124))/'WK2 - Notional General Income'!D63)</f>
        <v>4890.1601872260444</v>
      </c>
      <c r="F136" s="635">
        <f>IF(SUM(F91:F135)=0,"",('WK3 - Notional GI Yr1 YIELD'!L60+SUM('WK3 - Notional GI Yr1 YIELD'!L102:L121))/'WK3 - Notional GI Yr1 YIELD'!D60)</f>
        <v>5004.2829141932834</v>
      </c>
      <c r="G136" s="635">
        <f>G495/'WK3 - Notional GI Yr1 YIELD'!$D$60</f>
        <v>5129.3899870481164</v>
      </c>
      <c r="H136" s="635">
        <f>H495/'WK3 - Notional GI Yr1 YIELD'!$D$60</f>
        <v>5257.6247367243177</v>
      </c>
      <c r="I136" s="635">
        <f>I495/'WK3 - Notional GI Yr1 YIELD'!$D$60</f>
        <v>5389.0653551424248</v>
      </c>
      <c r="J136" s="635">
        <f>J495/'WK3 - Notional GI Yr1 YIELD'!$D$60</f>
        <v>5523.7919890209869</v>
      </c>
      <c r="K136" s="635">
        <f>K495/'WK3 - Notional GI Yr1 YIELD'!$D$60</f>
        <v>0</v>
      </c>
      <c r="L136" s="635">
        <f>L495/'WK3 - Notional GI Yr1 YIELD'!$D$60</f>
        <v>0</v>
      </c>
      <c r="M136" s="455"/>
      <c r="N136" s="632">
        <f t="shared" si="55"/>
        <v>114.12272696723903</v>
      </c>
      <c r="O136" s="633">
        <f t="shared" si="56"/>
        <v>2.3337216491465373E-2</v>
      </c>
      <c r="P136" s="632">
        <f t="shared" si="57"/>
        <v>125.10707285483295</v>
      </c>
      <c r="Q136" s="634">
        <f t="shared" si="58"/>
        <v>2.5000000000000171E-2</v>
      </c>
      <c r="R136" s="635">
        <f t="shared" si="59"/>
        <v>239.22979982207198</v>
      </c>
      <c r="S136" s="633">
        <f t="shared" si="60"/>
        <v>4.8920646903752182E-2</v>
      </c>
      <c r="T136" s="632">
        <f t="shared" si="61"/>
        <v>128.23474967620132</v>
      </c>
      <c r="U136" s="634">
        <f t="shared" si="62"/>
        <v>2.4999999999999689E-2</v>
      </c>
      <c r="V136" s="635">
        <f t="shared" si="63"/>
        <v>367.4645494982733</v>
      </c>
      <c r="W136" s="633">
        <f t="shared" si="64"/>
        <v>7.5143663076345665E-2</v>
      </c>
      <c r="X136" s="632">
        <f t="shared" si="65"/>
        <v>131.44061841810708</v>
      </c>
      <c r="Y136" s="634">
        <f t="shared" si="66"/>
        <v>2.4999999999999835E-2</v>
      </c>
      <c r="Z136" s="635">
        <f t="shared" si="67"/>
        <v>498.90516791638038</v>
      </c>
      <c r="AA136" s="633">
        <f t="shared" si="68"/>
        <v>0.10202225465325412</v>
      </c>
      <c r="AB136" s="632">
        <f t="shared" si="69"/>
        <v>134.7266338785621</v>
      </c>
      <c r="AC136" s="634">
        <f t="shared" si="70"/>
        <v>2.5000000000000275E-2</v>
      </c>
      <c r="AD136" s="635">
        <f t="shared" si="71"/>
        <v>633.63180179494248</v>
      </c>
      <c r="AE136" s="633">
        <f t="shared" si="72"/>
        <v>0.12957281101958579</v>
      </c>
      <c r="AF136" s="632" t="str">
        <f t="shared" si="73"/>
        <v/>
      </c>
      <c r="AG136" s="634" t="str">
        <f t="shared" si="74"/>
        <v/>
      </c>
      <c r="AH136" s="635" t="str">
        <f t="shared" si="75"/>
        <v/>
      </c>
      <c r="AI136" s="633" t="str">
        <f t="shared" si="76"/>
        <v/>
      </c>
      <c r="AJ136" s="632" t="str">
        <f t="shared" si="77"/>
        <v/>
      </c>
      <c r="AK136" s="636" t="str">
        <f t="shared" si="78"/>
        <v/>
      </c>
      <c r="AL136" s="637" t="str">
        <f t="shared" si="79"/>
        <v/>
      </c>
      <c r="AM136" s="633" t="str">
        <f t="shared" si="80"/>
        <v/>
      </c>
      <c r="AN136" s="455"/>
    </row>
    <row r="137" spans="1:40" ht="13.2" x14ac:dyDescent="0.25">
      <c r="A137" s="26"/>
      <c r="B137" s="38"/>
      <c r="C137" s="261" t="s">
        <v>205</v>
      </c>
      <c r="D137" s="644" t="str">
        <f>IF('WK2 - Notional General Income'!C64="","",'WK2 - Notional General Income'!C64)</f>
        <v/>
      </c>
      <c r="E137" s="635">
        <f>IF('WK2 - Notional General Income'!L64="","",'WK2 - Notional General Income'!L64/'WK2 - Notional General Income'!D64)</f>
        <v>2345.9813864281959</v>
      </c>
      <c r="F137" s="635">
        <f>IF('WK3 - Notional GI Yr1 YIELD'!L61="","",'WK3 - Notional GI Yr1 YIELD'!L61/'WK3 - Notional GI Yr1 YIELD'!D61)</f>
        <v>2399.8189186743816</v>
      </c>
      <c r="G137" s="472">
        <f>F137*1.025</f>
        <v>2459.8143916412409</v>
      </c>
      <c r="H137" s="472">
        <f>G137*1.025</f>
        <v>2521.3097514322717</v>
      </c>
      <c r="I137" s="472">
        <f>H137*1.025</f>
        <v>2584.3424952180781</v>
      </c>
      <c r="J137" s="472">
        <f>I137*1.025</f>
        <v>2648.9510575985296</v>
      </c>
      <c r="K137" s="472"/>
      <c r="L137" s="472"/>
      <c r="M137" s="38"/>
      <c r="N137" s="632">
        <f t="shared" si="55"/>
        <v>53.837532246185674</v>
      </c>
      <c r="O137" s="633">
        <f t="shared" si="56"/>
        <v>2.2948831801327462E-2</v>
      </c>
      <c r="P137" s="632">
        <f t="shared" si="57"/>
        <v>59.995472966859325</v>
      </c>
      <c r="Q137" s="634">
        <f t="shared" si="58"/>
        <v>2.4999999999999911E-2</v>
      </c>
      <c r="R137" s="635">
        <f t="shared" si="59"/>
        <v>113.833005213045</v>
      </c>
      <c r="S137" s="633">
        <f t="shared" si="60"/>
        <v>4.8522552596360555E-2</v>
      </c>
      <c r="T137" s="632">
        <f t="shared" si="61"/>
        <v>61.495359791030751</v>
      </c>
      <c r="U137" s="634">
        <f t="shared" si="62"/>
        <v>2.499999999999989E-2</v>
      </c>
      <c r="V137" s="635">
        <f t="shared" si="63"/>
        <v>175.32836500407575</v>
      </c>
      <c r="W137" s="633">
        <f t="shared" si="64"/>
        <v>7.4735616411269454E-2</v>
      </c>
      <c r="X137" s="632">
        <f t="shared" si="65"/>
        <v>63.03274378580636</v>
      </c>
      <c r="Y137" s="634">
        <f t="shared" si="66"/>
        <v>2.4999999999999828E-2</v>
      </c>
      <c r="Z137" s="635">
        <f t="shared" si="67"/>
        <v>238.36110878988211</v>
      </c>
      <c r="AA137" s="633">
        <f t="shared" si="68"/>
        <v>0.101604006821551</v>
      </c>
      <c r="AB137" s="632">
        <f t="shared" si="69"/>
        <v>64.608562380451531</v>
      </c>
      <c r="AC137" s="634">
        <f t="shared" si="70"/>
        <v>2.4999999999999838E-2</v>
      </c>
      <c r="AD137" s="635">
        <f t="shared" si="71"/>
        <v>302.96967117033364</v>
      </c>
      <c r="AE137" s="633">
        <f t="shared" si="72"/>
        <v>0.12914410699208961</v>
      </c>
      <c r="AF137" s="632" t="str">
        <f t="shared" si="73"/>
        <v/>
      </c>
      <c r="AG137" s="634" t="str">
        <f t="shared" si="74"/>
        <v/>
      </c>
      <c r="AH137" s="635" t="str">
        <f t="shared" si="75"/>
        <v/>
      </c>
      <c r="AI137" s="633" t="str">
        <f t="shared" si="76"/>
        <v/>
      </c>
      <c r="AJ137" s="632" t="str">
        <f t="shared" si="77"/>
        <v/>
      </c>
      <c r="AK137" s="636" t="str">
        <f t="shared" si="78"/>
        <v/>
      </c>
      <c r="AL137" s="637" t="str">
        <f t="shared" si="79"/>
        <v/>
      </c>
      <c r="AM137" s="633" t="str">
        <f t="shared" si="80"/>
        <v/>
      </c>
      <c r="AN137" s="38"/>
    </row>
    <row r="138" spans="1:40" ht="13.2" x14ac:dyDescent="0.25">
      <c r="A138" s="26"/>
      <c r="B138" s="38"/>
      <c r="C138" s="261" t="s">
        <v>205</v>
      </c>
      <c r="D138" s="644" t="str">
        <f>IF('WK2 - Notional General Income'!C65="","",'WK2 - Notional General Income'!C65)</f>
        <v/>
      </c>
      <c r="E138" s="635" t="str">
        <f>IF('WK2 - Notional General Income'!L65="","",'WK2 - Notional General Income'!L65/'WK2 - Notional General Income'!D65)</f>
        <v/>
      </c>
      <c r="F138" s="635" t="str">
        <f>IF('WK3 - Notional GI Yr1 YIELD'!L62="","",'WK3 - Notional GI Yr1 YIELD'!L62/'WK3 - Notional GI Yr1 YIELD'!D62)</f>
        <v/>
      </c>
      <c r="G138" s="472"/>
      <c r="H138" s="472"/>
      <c r="I138" s="472"/>
      <c r="J138" s="472"/>
      <c r="K138" s="472"/>
      <c r="L138" s="472"/>
      <c r="M138" s="38"/>
      <c r="N138" s="632" t="str">
        <f t="shared" si="55"/>
        <v/>
      </c>
      <c r="O138" s="633" t="str">
        <f t="shared" si="56"/>
        <v/>
      </c>
      <c r="P138" s="632" t="str">
        <f t="shared" si="57"/>
        <v/>
      </c>
      <c r="Q138" s="634" t="str">
        <f t="shared" si="58"/>
        <v/>
      </c>
      <c r="R138" s="635" t="str">
        <f t="shared" si="59"/>
        <v/>
      </c>
      <c r="S138" s="633" t="str">
        <f t="shared" si="60"/>
        <v/>
      </c>
      <c r="T138" s="632" t="str">
        <f t="shared" si="61"/>
        <v/>
      </c>
      <c r="U138" s="634" t="str">
        <f t="shared" si="62"/>
        <v/>
      </c>
      <c r="V138" s="635" t="str">
        <f t="shared" si="63"/>
        <v/>
      </c>
      <c r="W138" s="633" t="str">
        <f t="shared" si="64"/>
        <v/>
      </c>
      <c r="X138" s="632" t="str">
        <f t="shared" si="65"/>
        <v/>
      </c>
      <c r="Y138" s="634" t="str">
        <f t="shared" si="66"/>
        <v/>
      </c>
      <c r="Z138" s="635" t="str">
        <f t="shared" si="67"/>
        <v/>
      </c>
      <c r="AA138" s="633" t="str">
        <f t="shared" si="68"/>
        <v/>
      </c>
      <c r="AB138" s="632" t="str">
        <f t="shared" si="69"/>
        <v/>
      </c>
      <c r="AC138" s="634" t="str">
        <f t="shared" si="70"/>
        <v/>
      </c>
      <c r="AD138" s="635" t="str">
        <f t="shared" si="71"/>
        <v/>
      </c>
      <c r="AE138" s="633" t="str">
        <f t="shared" si="72"/>
        <v/>
      </c>
      <c r="AF138" s="632" t="str">
        <f t="shared" si="73"/>
        <v/>
      </c>
      <c r="AG138" s="634" t="str">
        <f t="shared" si="74"/>
        <v/>
      </c>
      <c r="AH138" s="635" t="str">
        <f t="shared" si="75"/>
        <v/>
      </c>
      <c r="AI138" s="633" t="str">
        <f t="shared" si="76"/>
        <v/>
      </c>
      <c r="AJ138" s="632" t="str">
        <f t="shared" si="77"/>
        <v/>
      </c>
      <c r="AK138" s="636" t="str">
        <f t="shared" si="78"/>
        <v/>
      </c>
      <c r="AL138" s="637" t="str">
        <f t="shared" si="79"/>
        <v/>
      </c>
      <c r="AM138" s="633" t="str">
        <f t="shared" si="80"/>
        <v/>
      </c>
      <c r="AN138" s="38"/>
    </row>
    <row r="139" spans="1:40" ht="13.2" x14ac:dyDescent="0.25">
      <c r="A139" s="26"/>
      <c r="B139" s="38"/>
      <c r="C139" s="261" t="s">
        <v>205</v>
      </c>
      <c r="D139" s="644" t="str">
        <f>IF('WK2 - Notional General Income'!C66="","",'WK2 - Notional General Income'!C66)</f>
        <v/>
      </c>
      <c r="E139" s="635" t="str">
        <f>IF('WK2 - Notional General Income'!L66="","",'WK2 - Notional General Income'!L66/'WK2 - Notional General Income'!D66)</f>
        <v/>
      </c>
      <c r="F139" s="635" t="str">
        <f>IF('WK3 - Notional GI Yr1 YIELD'!L63="","",'WK3 - Notional GI Yr1 YIELD'!L63/'WK3 - Notional GI Yr1 YIELD'!D63)</f>
        <v/>
      </c>
      <c r="G139" s="472"/>
      <c r="H139" s="472"/>
      <c r="I139" s="472"/>
      <c r="J139" s="472"/>
      <c r="K139" s="472"/>
      <c r="L139" s="472"/>
      <c r="M139" s="38"/>
      <c r="N139" s="632" t="str">
        <f t="shared" si="55"/>
        <v/>
      </c>
      <c r="O139" s="633" t="str">
        <f t="shared" si="56"/>
        <v/>
      </c>
      <c r="P139" s="632" t="str">
        <f t="shared" si="57"/>
        <v/>
      </c>
      <c r="Q139" s="634" t="str">
        <f t="shared" si="58"/>
        <v/>
      </c>
      <c r="R139" s="635" t="str">
        <f t="shared" si="59"/>
        <v/>
      </c>
      <c r="S139" s="633" t="str">
        <f t="shared" si="60"/>
        <v/>
      </c>
      <c r="T139" s="632" t="str">
        <f t="shared" si="61"/>
        <v/>
      </c>
      <c r="U139" s="634" t="str">
        <f t="shared" si="62"/>
        <v/>
      </c>
      <c r="V139" s="635" t="str">
        <f t="shared" si="63"/>
        <v/>
      </c>
      <c r="W139" s="633" t="str">
        <f t="shared" si="64"/>
        <v/>
      </c>
      <c r="X139" s="632" t="str">
        <f t="shared" si="65"/>
        <v/>
      </c>
      <c r="Y139" s="634" t="str">
        <f t="shared" si="66"/>
        <v/>
      </c>
      <c r="Z139" s="635" t="str">
        <f t="shared" si="67"/>
        <v/>
      </c>
      <c r="AA139" s="633" t="str">
        <f t="shared" si="68"/>
        <v/>
      </c>
      <c r="AB139" s="632" t="str">
        <f t="shared" si="69"/>
        <v/>
      </c>
      <c r="AC139" s="634" t="str">
        <f t="shared" si="70"/>
        <v/>
      </c>
      <c r="AD139" s="635" t="str">
        <f t="shared" si="71"/>
        <v/>
      </c>
      <c r="AE139" s="633" t="str">
        <f t="shared" si="72"/>
        <v/>
      </c>
      <c r="AF139" s="632" t="str">
        <f t="shared" si="73"/>
        <v/>
      </c>
      <c r="AG139" s="634" t="str">
        <f t="shared" si="74"/>
        <v/>
      </c>
      <c r="AH139" s="635" t="str">
        <f t="shared" si="75"/>
        <v/>
      </c>
      <c r="AI139" s="633" t="str">
        <f t="shared" si="76"/>
        <v/>
      </c>
      <c r="AJ139" s="632" t="str">
        <f t="shared" si="77"/>
        <v/>
      </c>
      <c r="AK139" s="636" t="str">
        <f t="shared" si="78"/>
        <v/>
      </c>
      <c r="AL139" s="637" t="str">
        <f t="shared" si="79"/>
        <v/>
      </c>
      <c r="AM139" s="633" t="str">
        <f t="shared" si="80"/>
        <v/>
      </c>
      <c r="AN139" s="38"/>
    </row>
    <row r="140" spans="1:40" ht="13.2" x14ac:dyDescent="0.25">
      <c r="A140" s="26"/>
      <c r="B140" s="38"/>
      <c r="C140" s="261" t="s">
        <v>205</v>
      </c>
      <c r="D140" s="644" t="str">
        <f>IF('WK2 - Notional General Income'!C67="","",'WK2 - Notional General Income'!C67)</f>
        <v/>
      </c>
      <c r="E140" s="635" t="str">
        <f>IF('WK2 - Notional General Income'!L67="","",'WK2 - Notional General Income'!L67/'WK2 - Notional General Income'!D67)</f>
        <v/>
      </c>
      <c r="F140" s="635" t="str">
        <f>IF('WK3 - Notional GI Yr1 YIELD'!L64="","",'WK3 - Notional GI Yr1 YIELD'!L64/'WK3 - Notional GI Yr1 YIELD'!D64)</f>
        <v/>
      </c>
      <c r="G140" s="472"/>
      <c r="H140" s="472"/>
      <c r="I140" s="472"/>
      <c r="J140" s="472"/>
      <c r="K140" s="472"/>
      <c r="L140" s="472"/>
      <c r="M140" s="38"/>
      <c r="N140" s="632" t="str">
        <f t="shared" si="55"/>
        <v/>
      </c>
      <c r="O140" s="633" t="str">
        <f t="shared" si="56"/>
        <v/>
      </c>
      <c r="P140" s="632" t="str">
        <f t="shared" si="57"/>
        <v/>
      </c>
      <c r="Q140" s="634" t="str">
        <f t="shared" si="58"/>
        <v/>
      </c>
      <c r="R140" s="635" t="str">
        <f t="shared" si="59"/>
        <v/>
      </c>
      <c r="S140" s="633" t="str">
        <f t="shared" si="60"/>
        <v/>
      </c>
      <c r="T140" s="632" t="str">
        <f t="shared" si="61"/>
        <v/>
      </c>
      <c r="U140" s="634" t="str">
        <f t="shared" si="62"/>
        <v/>
      </c>
      <c r="V140" s="635" t="str">
        <f t="shared" si="63"/>
        <v/>
      </c>
      <c r="W140" s="633" t="str">
        <f t="shared" si="64"/>
        <v/>
      </c>
      <c r="X140" s="632" t="str">
        <f t="shared" si="65"/>
        <v/>
      </c>
      <c r="Y140" s="634" t="str">
        <f t="shared" si="66"/>
        <v/>
      </c>
      <c r="Z140" s="635" t="str">
        <f t="shared" si="67"/>
        <v/>
      </c>
      <c r="AA140" s="633" t="str">
        <f t="shared" si="68"/>
        <v/>
      </c>
      <c r="AB140" s="632" t="str">
        <f t="shared" si="69"/>
        <v/>
      </c>
      <c r="AC140" s="634" t="str">
        <f t="shared" si="70"/>
        <v/>
      </c>
      <c r="AD140" s="635" t="str">
        <f t="shared" si="71"/>
        <v/>
      </c>
      <c r="AE140" s="633" t="str">
        <f t="shared" si="72"/>
        <v/>
      </c>
      <c r="AF140" s="632" t="str">
        <f t="shared" si="73"/>
        <v/>
      </c>
      <c r="AG140" s="634" t="str">
        <f t="shared" si="74"/>
        <v/>
      </c>
      <c r="AH140" s="635" t="str">
        <f t="shared" si="75"/>
        <v/>
      </c>
      <c r="AI140" s="633" t="str">
        <f t="shared" si="76"/>
        <v/>
      </c>
      <c r="AJ140" s="632" t="str">
        <f t="shared" si="77"/>
        <v/>
      </c>
      <c r="AK140" s="636" t="str">
        <f t="shared" si="78"/>
        <v/>
      </c>
      <c r="AL140" s="637" t="str">
        <f t="shared" si="79"/>
        <v/>
      </c>
      <c r="AM140" s="633" t="str">
        <f t="shared" si="80"/>
        <v/>
      </c>
      <c r="AN140" s="38"/>
    </row>
    <row r="141" spans="1:40" ht="13.2" x14ac:dyDescent="0.25">
      <c r="A141" s="26"/>
      <c r="B141" s="38"/>
      <c r="C141" s="261" t="s">
        <v>205</v>
      </c>
      <c r="D141" s="644" t="str">
        <f>IF('WK2 - Notional General Income'!C68="","",'WK2 - Notional General Income'!C68)</f>
        <v/>
      </c>
      <c r="E141" s="635" t="str">
        <f>IF('WK2 - Notional General Income'!L68="","",'WK2 - Notional General Income'!L68/'WK2 - Notional General Income'!D68)</f>
        <v/>
      </c>
      <c r="F141" s="635" t="str">
        <f>IF('WK3 - Notional GI Yr1 YIELD'!L65="","",'WK3 - Notional GI Yr1 YIELD'!L65/'WK3 - Notional GI Yr1 YIELD'!D65)</f>
        <v/>
      </c>
      <c r="G141" s="472"/>
      <c r="H141" s="472"/>
      <c r="I141" s="472"/>
      <c r="J141" s="472"/>
      <c r="K141" s="472"/>
      <c r="L141" s="472"/>
      <c r="M141" s="38"/>
      <c r="N141" s="632" t="str">
        <f t="shared" si="55"/>
        <v/>
      </c>
      <c r="O141" s="633" t="str">
        <f t="shared" si="56"/>
        <v/>
      </c>
      <c r="P141" s="632" t="str">
        <f t="shared" si="57"/>
        <v/>
      </c>
      <c r="Q141" s="634" t="str">
        <f t="shared" si="58"/>
        <v/>
      </c>
      <c r="R141" s="635" t="str">
        <f t="shared" si="59"/>
        <v/>
      </c>
      <c r="S141" s="633" t="str">
        <f t="shared" si="60"/>
        <v/>
      </c>
      <c r="T141" s="632" t="str">
        <f t="shared" si="61"/>
        <v/>
      </c>
      <c r="U141" s="634" t="str">
        <f t="shared" si="62"/>
        <v/>
      </c>
      <c r="V141" s="635" t="str">
        <f t="shared" si="63"/>
        <v/>
      </c>
      <c r="W141" s="633" t="str">
        <f t="shared" si="64"/>
        <v/>
      </c>
      <c r="X141" s="632" t="str">
        <f t="shared" si="65"/>
        <v/>
      </c>
      <c r="Y141" s="634" t="str">
        <f t="shared" si="66"/>
        <v/>
      </c>
      <c r="Z141" s="635" t="str">
        <f t="shared" si="67"/>
        <v/>
      </c>
      <c r="AA141" s="633" t="str">
        <f t="shared" si="68"/>
        <v/>
      </c>
      <c r="AB141" s="632" t="str">
        <f t="shared" si="69"/>
        <v/>
      </c>
      <c r="AC141" s="634" t="str">
        <f t="shared" si="70"/>
        <v/>
      </c>
      <c r="AD141" s="635" t="str">
        <f t="shared" si="71"/>
        <v/>
      </c>
      <c r="AE141" s="633" t="str">
        <f t="shared" si="72"/>
        <v/>
      </c>
      <c r="AF141" s="632" t="str">
        <f t="shared" si="73"/>
        <v/>
      </c>
      <c r="AG141" s="634" t="str">
        <f t="shared" si="74"/>
        <v/>
      </c>
      <c r="AH141" s="635" t="str">
        <f t="shared" si="75"/>
        <v/>
      </c>
      <c r="AI141" s="633" t="str">
        <f t="shared" si="76"/>
        <v/>
      </c>
      <c r="AJ141" s="632" t="str">
        <f t="shared" si="77"/>
        <v/>
      </c>
      <c r="AK141" s="636" t="str">
        <f t="shared" si="78"/>
        <v/>
      </c>
      <c r="AL141" s="637" t="str">
        <f t="shared" si="79"/>
        <v/>
      </c>
      <c r="AM141" s="633" t="str">
        <f t="shared" si="80"/>
        <v/>
      </c>
      <c r="AN141" s="38"/>
    </row>
    <row r="142" spans="1:40" ht="13.2" x14ac:dyDescent="0.25">
      <c r="A142" s="26"/>
      <c r="B142" s="38"/>
      <c r="C142" s="261" t="s">
        <v>205</v>
      </c>
      <c r="D142" s="644" t="str">
        <f>IF('WK2 - Notional General Income'!C69="","",'WK2 - Notional General Income'!C69)</f>
        <v/>
      </c>
      <c r="E142" s="635" t="str">
        <f>IF('WK2 - Notional General Income'!L69="","",'WK2 - Notional General Income'!L69/'WK2 - Notional General Income'!D69)</f>
        <v/>
      </c>
      <c r="F142" s="635" t="str">
        <f>IF('WK3 - Notional GI Yr1 YIELD'!L66="","",'WK3 - Notional GI Yr1 YIELD'!L66/'WK3 - Notional GI Yr1 YIELD'!D66)</f>
        <v/>
      </c>
      <c r="G142" s="472"/>
      <c r="H142" s="472"/>
      <c r="I142" s="472"/>
      <c r="J142" s="472"/>
      <c r="K142" s="472"/>
      <c r="L142" s="472"/>
      <c r="M142" s="38"/>
      <c r="N142" s="632" t="str">
        <f t="shared" si="55"/>
        <v/>
      </c>
      <c r="O142" s="633" t="str">
        <f t="shared" si="56"/>
        <v/>
      </c>
      <c r="P142" s="632" t="str">
        <f t="shared" si="57"/>
        <v/>
      </c>
      <c r="Q142" s="634" t="str">
        <f t="shared" si="58"/>
        <v/>
      </c>
      <c r="R142" s="635" t="str">
        <f t="shared" si="59"/>
        <v/>
      </c>
      <c r="S142" s="633" t="str">
        <f t="shared" si="60"/>
        <v/>
      </c>
      <c r="T142" s="632" t="str">
        <f t="shared" si="61"/>
        <v/>
      </c>
      <c r="U142" s="634" t="str">
        <f t="shared" si="62"/>
        <v/>
      </c>
      <c r="V142" s="635" t="str">
        <f t="shared" si="63"/>
        <v/>
      </c>
      <c r="W142" s="633" t="str">
        <f t="shared" si="64"/>
        <v/>
      </c>
      <c r="X142" s="632" t="str">
        <f t="shared" si="65"/>
        <v/>
      </c>
      <c r="Y142" s="634" t="str">
        <f t="shared" si="66"/>
        <v/>
      </c>
      <c r="Z142" s="635" t="str">
        <f t="shared" si="67"/>
        <v/>
      </c>
      <c r="AA142" s="633" t="str">
        <f t="shared" si="68"/>
        <v/>
      </c>
      <c r="AB142" s="632" t="str">
        <f t="shared" si="69"/>
        <v/>
      </c>
      <c r="AC142" s="634" t="str">
        <f t="shared" si="70"/>
        <v/>
      </c>
      <c r="AD142" s="635" t="str">
        <f t="shared" si="71"/>
        <v/>
      </c>
      <c r="AE142" s="633" t="str">
        <f t="shared" si="72"/>
        <v/>
      </c>
      <c r="AF142" s="632" t="str">
        <f t="shared" si="73"/>
        <v/>
      </c>
      <c r="AG142" s="634" t="str">
        <f t="shared" si="74"/>
        <v/>
      </c>
      <c r="AH142" s="635" t="str">
        <f t="shared" si="75"/>
        <v/>
      </c>
      <c r="AI142" s="633" t="str">
        <f t="shared" si="76"/>
        <v/>
      </c>
      <c r="AJ142" s="632" t="str">
        <f t="shared" si="77"/>
        <v/>
      </c>
      <c r="AK142" s="636" t="str">
        <f t="shared" si="78"/>
        <v/>
      </c>
      <c r="AL142" s="637" t="str">
        <f t="shared" si="79"/>
        <v/>
      </c>
      <c r="AM142" s="633" t="str">
        <f t="shared" si="80"/>
        <v/>
      </c>
      <c r="AN142" s="38"/>
    </row>
    <row r="143" spans="1:40" ht="13.2" x14ac:dyDescent="0.25">
      <c r="A143" s="26"/>
      <c r="B143" s="38"/>
      <c r="C143" s="261" t="s">
        <v>205</v>
      </c>
      <c r="D143" s="644" t="str">
        <f>IF('WK2 - Notional General Income'!C70="","",'WK2 - Notional General Income'!C70)</f>
        <v/>
      </c>
      <c r="E143" s="635" t="str">
        <f>IF('WK2 - Notional General Income'!L70="","",'WK2 - Notional General Income'!L70/'WK2 - Notional General Income'!D70)</f>
        <v/>
      </c>
      <c r="F143" s="635" t="str">
        <f>IF('WK3 - Notional GI Yr1 YIELD'!L67="","",'WK3 - Notional GI Yr1 YIELD'!L67/'WK3 - Notional GI Yr1 YIELD'!D67)</f>
        <v/>
      </c>
      <c r="G143" s="472"/>
      <c r="H143" s="472"/>
      <c r="I143" s="472"/>
      <c r="J143" s="472"/>
      <c r="K143" s="472"/>
      <c r="L143" s="472"/>
      <c r="M143" s="38"/>
      <c r="N143" s="632" t="str">
        <f t="shared" si="55"/>
        <v/>
      </c>
      <c r="O143" s="633" t="str">
        <f t="shared" si="56"/>
        <v/>
      </c>
      <c r="P143" s="632" t="str">
        <f t="shared" si="57"/>
        <v/>
      </c>
      <c r="Q143" s="634" t="str">
        <f t="shared" si="58"/>
        <v/>
      </c>
      <c r="R143" s="635" t="str">
        <f t="shared" si="59"/>
        <v/>
      </c>
      <c r="S143" s="633" t="str">
        <f t="shared" si="60"/>
        <v/>
      </c>
      <c r="T143" s="632" t="str">
        <f t="shared" si="61"/>
        <v/>
      </c>
      <c r="U143" s="634" t="str">
        <f t="shared" si="62"/>
        <v/>
      </c>
      <c r="V143" s="635" t="str">
        <f t="shared" si="63"/>
        <v/>
      </c>
      <c r="W143" s="633" t="str">
        <f t="shared" si="64"/>
        <v/>
      </c>
      <c r="X143" s="632" t="str">
        <f t="shared" si="65"/>
        <v/>
      </c>
      <c r="Y143" s="634" t="str">
        <f t="shared" si="66"/>
        <v/>
      </c>
      <c r="Z143" s="635" t="str">
        <f t="shared" si="67"/>
        <v/>
      </c>
      <c r="AA143" s="633" t="str">
        <f t="shared" si="68"/>
        <v/>
      </c>
      <c r="AB143" s="632" t="str">
        <f t="shared" si="69"/>
        <v/>
      </c>
      <c r="AC143" s="634" t="str">
        <f t="shared" si="70"/>
        <v/>
      </c>
      <c r="AD143" s="635" t="str">
        <f t="shared" si="71"/>
        <v/>
      </c>
      <c r="AE143" s="633" t="str">
        <f t="shared" si="72"/>
        <v/>
      </c>
      <c r="AF143" s="632" t="str">
        <f t="shared" si="73"/>
        <v/>
      </c>
      <c r="AG143" s="634" t="str">
        <f t="shared" si="74"/>
        <v/>
      </c>
      <c r="AH143" s="635" t="str">
        <f t="shared" si="75"/>
        <v/>
      </c>
      <c r="AI143" s="633" t="str">
        <f t="shared" si="76"/>
        <v/>
      </c>
      <c r="AJ143" s="632" t="str">
        <f t="shared" si="77"/>
        <v/>
      </c>
      <c r="AK143" s="636" t="str">
        <f t="shared" si="78"/>
        <v/>
      </c>
      <c r="AL143" s="637" t="str">
        <f t="shared" si="79"/>
        <v/>
      </c>
      <c r="AM143" s="633" t="str">
        <f t="shared" si="80"/>
        <v/>
      </c>
      <c r="AN143" s="38"/>
    </row>
    <row r="144" spans="1:40" ht="13.2" x14ac:dyDescent="0.25">
      <c r="A144" s="26"/>
      <c r="B144" s="38"/>
      <c r="C144" s="261" t="s">
        <v>205</v>
      </c>
      <c r="D144" s="644" t="str">
        <f>IF('WK2 - Notional General Income'!C71="","",'WK2 - Notional General Income'!C71)</f>
        <v/>
      </c>
      <c r="E144" s="635" t="str">
        <f>IF('WK2 - Notional General Income'!L71="","",'WK2 - Notional General Income'!L71/'WK2 - Notional General Income'!D71)</f>
        <v/>
      </c>
      <c r="F144" s="635" t="str">
        <f>IF('WK3 - Notional GI Yr1 YIELD'!L68="","",'WK3 - Notional GI Yr1 YIELD'!L68/'WK3 - Notional GI Yr1 YIELD'!D68)</f>
        <v/>
      </c>
      <c r="G144" s="472"/>
      <c r="H144" s="472"/>
      <c r="I144" s="472"/>
      <c r="J144" s="472"/>
      <c r="K144" s="472"/>
      <c r="L144" s="472"/>
      <c r="M144" s="38"/>
      <c r="N144" s="632" t="str">
        <f t="shared" si="55"/>
        <v/>
      </c>
      <c r="O144" s="633" t="str">
        <f t="shared" si="56"/>
        <v/>
      </c>
      <c r="P144" s="632" t="str">
        <f t="shared" si="57"/>
        <v/>
      </c>
      <c r="Q144" s="634" t="str">
        <f t="shared" si="58"/>
        <v/>
      </c>
      <c r="R144" s="635" t="str">
        <f t="shared" si="59"/>
        <v/>
      </c>
      <c r="S144" s="633" t="str">
        <f t="shared" si="60"/>
        <v/>
      </c>
      <c r="T144" s="632" t="str">
        <f t="shared" si="61"/>
        <v/>
      </c>
      <c r="U144" s="634" t="str">
        <f t="shared" si="62"/>
        <v/>
      </c>
      <c r="V144" s="635" t="str">
        <f t="shared" si="63"/>
        <v/>
      </c>
      <c r="W144" s="633" t="str">
        <f t="shared" si="64"/>
        <v/>
      </c>
      <c r="X144" s="632" t="str">
        <f t="shared" si="65"/>
        <v/>
      </c>
      <c r="Y144" s="634" t="str">
        <f t="shared" si="66"/>
        <v/>
      </c>
      <c r="Z144" s="635" t="str">
        <f t="shared" si="67"/>
        <v/>
      </c>
      <c r="AA144" s="633" t="str">
        <f t="shared" si="68"/>
        <v/>
      </c>
      <c r="AB144" s="632" t="str">
        <f t="shared" si="69"/>
        <v/>
      </c>
      <c r="AC144" s="634" t="str">
        <f t="shared" si="70"/>
        <v/>
      </c>
      <c r="AD144" s="635" t="str">
        <f t="shared" si="71"/>
        <v/>
      </c>
      <c r="AE144" s="633" t="str">
        <f t="shared" si="72"/>
        <v/>
      </c>
      <c r="AF144" s="632" t="str">
        <f t="shared" si="73"/>
        <v/>
      </c>
      <c r="AG144" s="634" t="str">
        <f t="shared" si="74"/>
        <v/>
      </c>
      <c r="AH144" s="635" t="str">
        <f t="shared" si="75"/>
        <v/>
      </c>
      <c r="AI144" s="633" t="str">
        <f t="shared" si="76"/>
        <v/>
      </c>
      <c r="AJ144" s="632" t="str">
        <f t="shared" si="77"/>
        <v/>
      </c>
      <c r="AK144" s="636" t="str">
        <f t="shared" si="78"/>
        <v/>
      </c>
      <c r="AL144" s="637" t="str">
        <f t="shared" si="79"/>
        <v/>
      </c>
      <c r="AM144" s="633" t="str">
        <f t="shared" si="80"/>
        <v/>
      </c>
      <c r="AN144" s="38"/>
    </row>
    <row r="145" spans="1:40" ht="13.2" x14ac:dyDescent="0.25">
      <c r="A145" s="26"/>
      <c r="B145" s="38"/>
      <c r="C145" s="261" t="s">
        <v>205</v>
      </c>
      <c r="D145" s="644" t="str">
        <f>IF('WK2 - Notional General Income'!C72="","",'WK2 - Notional General Income'!C72)</f>
        <v/>
      </c>
      <c r="E145" s="635" t="str">
        <f>IF('WK2 - Notional General Income'!L72="","",'WK2 - Notional General Income'!L72/'WK2 - Notional General Income'!D72)</f>
        <v/>
      </c>
      <c r="F145" s="635" t="str">
        <f>IF('WK3 - Notional GI Yr1 YIELD'!L69="","",'WK3 - Notional GI Yr1 YIELD'!L69/'WK3 - Notional GI Yr1 YIELD'!D69)</f>
        <v/>
      </c>
      <c r="G145" s="472"/>
      <c r="H145" s="472"/>
      <c r="I145" s="472"/>
      <c r="J145" s="472"/>
      <c r="K145" s="472"/>
      <c r="L145" s="472"/>
      <c r="M145" s="38"/>
      <c r="N145" s="632" t="str">
        <f t="shared" si="55"/>
        <v/>
      </c>
      <c r="O145" s="633" t="str">
        <f t="shared" si="56"/>
        <v/>
      </c>
      <c r="P145" s="632" t="str">
        <f t="shared" si="57"/>
        <v/>
      </c>
      <c r="Q145" s="634" t="str">
        <f t="shared" si="58"/>
        <v/>
      </c>
      <c r="R145" s="635" t="str">
        <f t="shared" si="59"/>
        <v/>
      </c>
      <c r="S145" s="633" t="str">
        <f t="shared" si="60"/>
        <v/>
      </c>
      <c r="T145" s="632" t="str">
        <f t="shared" si="61"/>
        <v/>
      </c>
      <c r="U145" s="634" t="str">
        <f t="shared" si="62"/>
        <v/>
      </c>
      <c r="V145" s="635" t="str">
        <f t="shared" si="63"/>
        <v/>
      </c>
      <c r="W145" s="633" t="str">
        <f t="shared" si="64"/>
        <v/>
      </c>
      <c r="X145" s="632" t="str">
        <f t="shared" si="65"/>
        <v/>
      </c>
      <c r="Y145" s="634" t="str">
        <f t="shared" si="66"/>
        <v/>
      </c>
      <c r="Z145" s="635" t="str">
        <f t="shared" si="67"/>
        <v/>
      </c>
      <c r="AA145" s="633" t="str">
        <f t="shared" si="68"/>
        <v/>
      </c>
      <c r="AB145" s="632" t="str">
        <f t="shared" si="69"/>
        <v/>
      </c>
      <c r="AC145" s="634" t="str">
        <f t="shared" si="70"/>
        <v/>
      </c>
      <c r="AD145" s="635" t="str">
        <f t="shared" si="71"/>
        <v/>
      </c>
      <c r="AE145" s="633" t="str">
        <f t="shared" si="72"/>
        <v/>
      </c>
      <c r="AF145" s="632" t="str">
        <f t="shared" si="73"/>
        <v/>
      </c>
      <c r="AG145" s="634" t="str">
        <f t="shared" si="74"/>
        <v/>
      </c>
      <c r="AH145" s="635" t="str">
        <f t="shared" si="75"/>
        <v/>
      </c>
      <c r="AI145" s="633" t="str">
        <f t="shared" si="76"/>
        <v/>
      </c>
      <c r="AJ145" s="632" t="str">
        <f t="shared" si="77"/>
        <v/>
      </c>
      <c r="AK145" s="636" t="str">
        <f t="shared" si="78"/>
        <v/>
      </c>
      <c r="AL145" s="637" t="str">
        <f t="shared" si="79"/>
        <v/>
      </c>
      <c r="AM145" s="633" t="str">
        <f t="shared" si="80"/>
        <v/>
      </c>
      <c r="AN145" s="38"/>
    </row>
    <row r="146" spans="1:40" ht="13.2" x14ac:dyDescent="0.25">
      <c r="A146" s="26"/>
      <c r="B146" s="38"/>
      <c r="C146" s="261" t="s">
        <v>205</v>
      </c>
      <c r="D146" s="644" t="str">
        <f>IF('WK2 - Notional General Income'!C73="","",'WK2 - Notional General Income'!C73)</f>
        <v/>
      </c>
      <c r="E146" s="635" t="str">
        <f>IF('WK2 - Notional General Income'!L73="","",'WK2 - Notional General Income'!L73/'WK2 - Notional General Income'!D73)</f>
        <v/>
      </c>
      <c r="F146" s="635" t="str">
        <f>IF('WK3 - Notional GI Yr1 YIELD'!L70="","",'WK3 - Notional GI Yr1 YIELD'!L70/'WK3 - Notional GI Yr1 YIELD'!D70)</f>
        <v/>
      </c>
      <c r="G146" s="472"/>
      <c r="H146" s="472"/>
      <c r="I146" s="472"/>
      <c r="J146" s="472"/>
      <c r="K146" s="472"/>
      <c r="L146" s="472"/>
      <c r="M146" s="38"/>
      <c r="N146" s="632" t="str">
        <f t="shared" si="55"/>
        <v/>
      </c>
      <c r="O146" s="633" t="str">
        <f t="shared" si="56"/>
        <v/>
      </c>
      <c r="P146" s="632" t="str">
        <f t="shared" si="57"/>
        <v/>
      </c>
      <c r="Q146" s="634" t="str">
        <f t="shared" si="58"/>
        <v/>
      </c>
      <c r="R146" s="635" t="str">
        <f t="shared" si="59"/>
        <v/>
      </c>
      <c r="S146" s="633" t="str">
        <f t="shared" si="60"/>
        <v/>
      </c>
      <c r="T146" s="632" t="str">
        <f t="shared" si="61"/>
        <v/>
      </c>
      <c r="U146" s="634" t="str">
        <f t="shared" si="62"/>
        <v/>
      </c>
      <c r="V146" s="635" t="str">
        <f t="shared" si="63"/>
        <v/>
      </c>
      <c r="W146" s="633" t="str">
        <f t="shared" si="64"/>
        <v/>
      </c>
      <c r="X146" s="632" t="str">
        <f t="shared" si="65"/>
        <v/>
      </c>
      <c r="Y146" s="634" t="str">
        <f t="shared" si="66"/>
        <v/>
      </c>
      <c r="Z146" s="635" t="str">
        <f t="shared" si="67"/>
        <v/>
      </c>
      <c r="AA146" s="633" t="str">
        <f t="shared" si="68"/>
        <v/>
      </c>
      <c r="AB146" s="632" t="str">
        <f t="shared" si="69"/>
        <v/>
      </c>
      <c r="AC146" s="634" t="str">
        <f t="shared" si="70"/>
        <v/>
      </c>
      <c r="AD146" s="635" t="str">
        <f t="shared" si="71"/>
        <v/>
      </c>
      <c r="AE146" s="633" t="str">
        <f t="shared" si="72"/>
        <v/>
      </c>
      <c r="AF146" s="632" t="str">
        <f t="shared" si="73"/>
        <v/>
      </c>
      <c r="AG146" s="634" t="str">
        <f t="shared" si="74"/>
        <v/>
      </c>
      <c r="AH146" s="635" t="str">
        <f t="shared" si="75"/>
        <v/>
      </c>
      <c r="AI146" s="633" t="str">
        <f t="shared" si="76"/>
        <v/>
      </c>
      <c r="AJ146" s="632" t="str">
        <f t="shared" si="77"/>
        <v/>
      </c>
      <c r="AK146" s="636" t="str">
        <f t="shared" si="78"/>
        <v/>
      </c>
      <c r="AL146" s="637" t="str">
        <f t="shared" si="79"/>
        <v/>
      </c>
      <c r="AM146" s="633" t="str">
        <f t="shared" si="80"/>
        <v/>
      </c>
      <c r="AN146" s="38"/>
    </row>
    <row r="147" spans="1:40" ht="13.2" x14ac:dyDescent="0.25">
      <c r="A147" s="26"/>
      <c r="B147" s="38"/>
      <c r="C147" s="261" t="s">
        <v>441</v>
      </c>
      <c r="D147" s="644" t="str">
        <f>IF('WK2 - Notional General Income'!C125="","",'WK2 - Notional General Income'!C125)</f>
        <v/>
      </c>
      <c r="E147" s="635" t="str">
        <f>IF('WK2 - Notional General Income'!L125="","",'WK2 - Notional General Income'!L125/'WK2 - Notional General Income'!D125)</f>
        <v/>
      </c>
      <c r="F147" s="635" t="str">
        <f>IF('WK3 - Notional GI Yr1 YIELD'!L122="","",'WK3 - Notional GI Yr1 YIELD'!L122/'WK3 - Notional GI Yr1 YIELD'!D122)</f>
        <v/>
      </c>
      <c r="G147" s="472"/>
      <c r="H147" s="472"/>
      <c r="I147" s="472"/>
      <c r="J147" s="472"/>
      <c r="K147" s="472"/>
      <c r="L147" s="472"/>
      <c r="M147" s="38"/>
      <c r="N147" s="632" t="str">
        <f t="shared" si="55"/>
        <v/>
      </c>
      <c r="O147" s="633" t="str">
        <f t="shared" si="56"/>
        <v/>
      </c>
      <c r="P147" s="632" t="str">
        <f t="shared" si="57"/>
        <v/>
      </c>
      <c r="Q147" s="634" t="str">
        <f t="shared" si="58"/>
        <v/>
      </c>
      <c r="R147" s="635" t="str">
        <f t="shared" si="59"/>
        <v/>
      </c>
      <c r="S147" s="633" t="str">
        <f t="shared" si="60"/>
        <v/>
      </c>
      <c r="T147" s="632" t="str">
        <f t="shared" si="61"/>
        <v/>
      </c>
      <c r="U147" s="634" t="str">
        <f t="shared" si="62"/>
        <v/>
      </c>
      <c r="V147" s="635" t="str">
        <f t="shared" si="63"/>
        <v/>
      </c>
      <c r="W147" s="633" t="str">
        <f t="shared" si="64"/>
        <v/>
      </c>
      <c r="X147" s="632" t="str">
        <f t="shared" si="65"/>
        <v/>
      </c>
      <c r="Y147" s="634" t="str">
        <f t="shared" si="66"/>
        <v/>
      </c>
      <c r="Z147" s="635" t="str">
        <f t="shared" si="67"/>
        <v/>
      </c>
      <c r="AA147" s="633" t="str">
        <f t="shared" si="68"/>
        <v/>
      </c>
      <c r="AB147" s="632" t="str">
        <f t="shared" si="69"/>
        <v/>
      </c>
      <c r="AC147" s="634" t="str">
        <f t="shared" si="70"/>
        <v/>
      </c>
      <c r="AD147" s="635" t="str">
        <f t="shared" si="71"/>
        <v/>
      </c>
      <c r="AE147" s="633" t="str">
        <f t="shared" si="72"/>
        <v/>
      </c>
      <c r="AF147" s="632" t="str">
        <f t="shared" si="73"/>
        <v/>
      </c>
      <c r="AG147" s="634" t="str">
        <f t="shared" si="74"/>
        <v/>
      </c>
      <c r="AH147" s="635" t="str">
        <f t="shared" si="75"/>
        <v/>
      </c>
      <c r="AI147" s="633" t="str">
        <f t="shared" si="76"/>
        <v/>
      </c>
      <c r="AJ147" s="632" t="str">
        <f t="shared" si="77"/>
        <v/>
      </c>
      <c r="AK147" s="636" t="str">
        <f t="shared" si="78"/>
        <v/>
      </c>
      <c r="AL147" s="637" t="str">
        <f t="shared" si="79"/>
        <v/>
      </c>
      <c r="AM147" s="633" t="str">
        <f t="shared" si="80"/>
        <v/>
      </c>
      <c r="AN147" s="38"/>
    </row>
    <row r="148" spans="1:40" ht="13.2" x14ac:dyDescent="0.25">
      <c r="A148" s="26"/>
      <c r="B148" s="38"/>
      <c r="C148" s="261" t="s">
        <v>441</v>
      </c>
      <c r="D148" s="644" t="str">
        <f>IF('WK2 - Notional General Income'!C126="","",'WK2 - Notional General Income'!C126)</f>
        <v/>
      </c>
      <c r="E148" s="635" t="str">
        <f>IF('WK2 - Notional General Income'!L126="","",'WK2 - Notional General Income'!L126/'WK2 - Notional General Income'!D126)</f>
        <v/>
      </c>
      <c r="F148" s="635" t="str">
        <f>IF('WK3 - Notional GI Yr1 YIELD'!L123="","",'WK3 - Notional GI Yr1 YIELD'!L123/'WK3 - Notional GI Yr1 YIELD'!D123)</f>
        <v/>
      </c>
      <c r="G148" s="472"/>
      <c r="H148" s="472"/>
      <c r="I148" s="472"/>
      <c r="J148" s="472"/>
      <c r="K148" s="472"/>
      <c r="L148" s="472"/>
      <c r="M148" s="38"/>
      <c r="N148" s="632" t="str">
        <f t="shared" si="55"/>
        <v/>
      </c>
      <c r="O148" s="633" t="str">
        <f t="shared" si="56"/>
        <v/>
      </c>
      <c r="P148" s="632" t="str">
        <f t="shared" si="57"/>
        <v/>
      </c>
      <c r="Q148" s="634" t="str">
        <f t="shared" si="58"/>
        <v/>
      </c>
      <c r="R148" s="635" t="str">
        <f t="shared" si="59"/>
        <v/>
      </c>
      <c r="S148" s="633" t="str">
        <f t="shared" si="60"/>
        <v/>
      </c>
      <c r="T148" s="632" t="str">
        <f t="shared" si="61"/>
        <v/>
      </c>
      <c r="U148" s="634" t="str">
        <f t="shared" si="62"/>
        <v/>
      </c>
      <c r="V148" s="635" t="str">
        <f t="shared" si="63"/>
        <v/>
      </c>
      <c r="W148" s="633" t="str">
        <f t="shared" si="64"/>
        <v/>
      </c>
      <c r="X148" s="632" t="str">
        <f t="shared" si="65"/>
        <v/>
      </c>
      <c r="Y148" s="634" t="str">
        <f t="shared" si="66"/>
        <v/>
      </c>
      <c r="Z148" s="635" t="str">
        <f t="shared" si="67"/>
        <v/>
      </c>
      <c r="AA148" s="633" t="str">
        <f t="shared" si="68"/>
        <v/>
      </c>
      <c r="AB148" s="632" t="str">
        <f t="shared" si="69"/>
        <v/>
      </c>
      <c r="AC148" s="634" t="str">
        <f t="shared" si="70"/>
        <v/>
      </c>
      <c r="AD148" s="635" t="str">
        <f t="shared" si="71"/>
        <v/>
      </c>
      <c r="AE148" s="633" t="str">
        <f t="shared" si="72"/>
        <v/>
      </c>
      <c r="AF148" s="632" t="str">
        <f t="shared" si="73"/>
        <v/>
      </c>
      <c r="AG148" s="634" t="str">
        <f t="shared" si="74"/>
        <v/>
      </c>
      <c r="AH148" s="635" t="str">
        <f t="shared" si="75"/>
        <v/>
      </c>
      <c r="AI148" s="633" t="str">
        <f t="shared" si="76"/>
        <v/>
      </c>
      <c r="AJ148" s="632" t="str">
        <f t="shared" si="77"/>
        <v/>
      </c>
      <c r="AK148" s="636" t="str">
        <f t="shared" si="78"/>
        <v/>
      </c>
      <c r="AL148" s="637" t="str">
        <f t="shared" si="79"/>
        <v/>
      </c>
      <c r="AM148" s="633" t="str">
        <f t="shared" si="80"/>
        <v/>
      </c>
      <c r="AN148" s="38"/>
    </row>
    <row r="149" spans="1:40" ht="13.2" x14ac:dyDescent="0.25">
      <c r="A149" s="26"/>
      <c r="B149" s="38"/>
      <c r="C149" s="261" t="s">
        <v>441</v>
      </c>
      <c r="D149" s="644" t="str">
        <f>IF('WK2 - Notional General Income'!C127="","",'WK2 - Notional General Income'!C127)</f>
        <v/>
      </c>
      <c r="E149" s="635" t="str">
        <f>IF('WK2 - Notional General Income'!L127="","",'WK2 - Notional General Income'!L127/'WK2 - Notional General Income'!D127)</f>
        <v/>
      </c>
      <c r="F149" s="635" t="str">
        <f>IF('WK3 - Notional GI Yr1 YIELD'!L124="","",'WK3 - Notional GI Yr1 YIELD'!L124/'WK3 - Notional GI Yr1 YIELD'!D124)</f>
        <v/>
      </c>
      <c r="G149" s="472"/>
      <c r="H149" s="472"/>
      <c r="I149" s="472"/>
      <c r="J149" s="472"/>
      <c r="K149" s="472"/>
      <c r="L149" s="472"/>
      <c r="M149" s="38"/>
      <c r="N149" s="632" t="str">
        <f t="shared" si="55"/>
        <v/>
      </c>
      <c r="O149" s="633" t="str">
        <f t="shared" si="56"/>
        <v/>
      </c>
      <c r="P149" s="632" t="str">
        <f t="shared" si="57"/>
        <v/>
      </c>
      <c r="Q149" s="634" t="str">
        <f t="shared" si="58"/>
        <v/>
      </c>
      <c r="R149" s="635" t="str">
        <f t="shared" si="59"/>
        <v/>
      </c>
      <c r="S149" s="633" t="str">
        <f t="shared" si="60"/>
        <v/>
      </c>
      <c r="T149" s="632" t="str">
        <f t="shared" si="61"/>
        <v/>
      </c>
      <c r="U149" s="634" t="str">
        <f t="shared" si="62"/>
        <v/>
      </c>
      <c r="V149" s="635" t="str">
        <f t="shared" si="63"/>
        <v/>
      </c>
      <c r="W149" s="633" t="str">
        <f t="shared" si="64"/>
        <v/>
      </c>
      <c r="X149" s="632" t="str">
        <f t="shared" si="65"/>
        <v/>
      </c>
      <c r="Y149" s="634" t="str">
        <f t="shared" si="66"/>
        <v/>
      </c>
      <c r="Z149" s="635" t="str">
        <f t="shared" si="67"/>
        <v/>
      </c>
      <c r="AA149" s="633" t="str">
        <f t="shared" si="68"/>
        <v/>
      </c>
      <c r="AB149" s="632" t="str">
        <f t="shared" si="69"/>
        <v/>
      </c>
      <c r="AC149" s="634" t="str">
        <f t="shared" si="70"/>
        <v/>
      </c>
      <c r="AD149" s="635" t="str">
        <f t="shared" si="71"/>
        <v/>
      </c>
      <c r="AE149" s="633" t="str">
        <f t="shared" si="72"/>
        <v/>
      </c>
      <c r="AF149" s="632" t="str">
        <f t="shared" si="73"/>
        <v/>
      </c>
      <c r="AG149" s="634" t="str">
        <f t="shared" si="74"/>
        <v/>
      </c>
      <c r="AH149" s="635" t="str">
        <f t="shared" si="75"/>
        <v/>
      </c>
      <c r="AI149" s="633" t="str">
        <f t="shared" si="76"/>
        <v/>
      </c>
      <c r="AJ149" s="632" t="str">
        <f t="shared" si="77"/>
        <v/>
      </c>
      <c r="AK149" s="636" t="str">
        <f t="shared" si="78"/>
        <v/>
      </c>
      <c r="AL149" s="637" t="str">
        <f t="shared" si="79"/>
        <v/>
      </c>
      <c r="AM149" s="633" t="str">
        <f t="shared" si="80"/>
        <v/>
      </c>
      <c r="AN149" s="38"/>
    </row>
    <row r="150" spans="1:40" ht="13.2" x14ac:dyDescent="0.25">
      <c r="A150" s="26"/>
      <c r="B150" s="38"/>
      <c r="C150" s="261" t="s">
        <v>441</v>
      </c>
      <c r="D150" s="644" t="str">
        <f>IF('WK2 - Notional General Income'!C128="","",'WK2 - Notional General Income'!C128)</f>
        <v/>
      </c>
      <c r="E150" s="635" t="str">
        <f>IF('WK2 - Notional General Income'!L128="","",'WK2 - Notional General Income'!L128/'WK2 - Notional General Income'!D128)</f>
        <v/>
      </c>
      <c r="F150" s="635" t="str">
        <f>IF('WK3 - Notional GI Yr1 YIELD'!L125="","",'WK3 - Notional GI Yr1 YIELD'!L125/'WK3 - Notional GI Yr1 YIELD'!D125)</f>
        <v/>
      </c>
      <c r="G150" s="472"/>
      <c r="H150" s="472"/>
      <c r="I150" s="472"/>
      <c r="J150" s="472"/>
      <c r="K150" s="472"/>
      <c r="L150" s="472"/>
      <c r="M150" s="38"/>
      <c r="N150" s="632" t="str">
        <f t="shared" si="55"/>
        <v/>
      </c>
      <c r="O150" s="633" t="str">
        <f t="shared" si="56"/>
        <v/>
      </c>
      <c r="P150" s="632" t="str">
        <f t="shared" si="57"/>
        <v/>
      </c>
      <c r="Q150" s="634" t="str">
        <f t="shared" si="58"/>
        <v/>
      </c>
      <c r="R150" s="635" t="str">
        <f t="shared" si="59"/>
        <v/>
      </c>
      <c r="S150" s="633" t="str">
        <f t="shared" si="60"/>
        <v/>
      </c>
      <c r="T150" s="632" t="str">
        <f t="shared" si="61"/>
        <v/>
      </c>
      <c r="U150" s="634" t="str">
        <f t="shared" si="62"/>
        <v/>
      </c>
      <c r="V150" s="635" t="str">
        <f t="shared" si="63"/>
        <v/>
      </c>
      <c r="W150" s="633" t="str">
        <f t="shared" si="64"/>
        <v/>
      </c>
      <c r="X150" s="632" t="str">
        <f t="shared" si="65"/>
        <v/>
      </c>
      <c r="Y150" s="634" t="str">
        <f t="shared" si="66"/>
        <v/>
      </c>
      <c r="Z150" s="635" t="str">
        <f t="shared" si="67"/>
        <v/>
      </c>
      <c r="AA150" s="633" t="str">
        <f t="shared" si="68"/>
        <v/>
      </c>
      <c r="AB150" s="632" t="str">
        <f t="shared" si="69"/>
        <v/>
      </c>
      <c r="AC150" s="634" t="str">
        <f t="shared" si="70"/>
        <v/>
      </c>
      <c r="AD150" s="635" t="str">
        <f t="shared" si="71"/>
        <v/>
      </c>
      <c r="AE150" s="633" t="str">
        <f t="shared" si="72"/>
        <v/>
      </c>
      <c r="AF150" s="632" t="str">
        <f t="shared" si="73"/>
        <v/>
      </c>
      <c r="AG150" s="634" t="str">
        <f t="shared" si="74"/>
        <v/>
      </c>
      <c r="AH150" s="635" t="str">
        <f t="shared" si="75"/>
        <v/>
      </c>
      <c r="AI150" s="633" t="str">
        <f t="shared" si="76"/>
        <v/>
      </c>
      <c r="AJ150" s="632" t="str">
        <f t="shared" si="77"/>
        <v/>
      </c>
      <c r="AK150" s="636" t="str">
        <f t="shared" si="78"/>
        <v/>
      </c>
      <c r="AL150" s="637" t="str">
        <f t="shared" si="79"/>
        <v/>
      </c>
      <c r="AM150" s="633" t="str">
        <f t="shared" si="80"/>
        <v/>
      </c>
      <c r="AN150" s="38"/>
    </row>
    <row r="151" spans="1:40" ht="13.2" x14ac:dyDescent="0.25">
      <c r="A151" s="26"/>
      <c r="B151" s="38"/>
      <c r="C151" s="261" t="s">
        <v>441</v>
      </c>
      <c r="D151" s="644" t="str">
        <f>IF('WK2 - Notional General Income'!C129="","",'WK2 - Notional General Income'!C129)</f>
        <v/>
      </c>
      <c r="E151" s="635" t="str">
        <f>IF('WK2 - Notional General Income'!L129="","",'WK2 - Notional General Income'!L129/'WK2 - Notional General Income'!D129)</f>
        <v/>
      </c>
      <c r="F151" s="635" t="str">
        <f>IF('WK3 - Notional GI Yr1 YIELD'!L126="","",'WK3 - Notional GI Yr1 YIELD'!L126/'WK3 - Notional GI Yr1 YIELD'!D126)</f>
        <v/>
      </c>
      <c r="G151" s="472"/>
      <c r="H151" s="472"/>
      <c r="I151" s="472"/>
      <c r="J151" s="472"/>
      <c r="K151" s="472"/>
      <c r="L151" s="472"/>
      <c r="M151" s="38"/>
      <c r="N151" s="632" t="str">
        <f t="shared" si="55"/>
        <v/>
      </c>
      <c r="O151" s="633" t="str">
        <f t="shared" si="56"/>
        <v/>
      </c>
      <c r="P151" s="632" t="str">
        <f t="shared" si="57"/>
        <v/>
      </c>
      <c r="Q151" s="634" t="str">
        <f t="shared" si="58"/>
        <v/>
      </c>
      <c r="R151" s="635" t="str">
        <f t="shared" si="59"/>
        <v/>
      </c>
      <c r="S151" s="633" t="str">
        <f t="shared" si="60"/>
        <v/>
      </c>
      <c r="T151" s="632" t="str">
        <f t="shared" si="61"/>
        <v/>
      </c>
      <c r="U151" s="634" t="str">
        <f t="shared" si="62"/>
        <v/>
      </c>
      <c r="V151" s="635" t="str">
        <f t="shared" si="63"/>
        <v/>
      </c>
      <c r="W151" s="633" t="str">
        <f t="shared" si="64"/>
        <v/>
      </c>
      <c r="X151" s="632" t="str">
        <f t="shared" si="65"/>
        <v/>
      </c>
      <c r="Y151" s="634" t="str">
        <f t="shared" si="66"/>
        <v/>
      </c>
      <c r="Z151" s="635" t="str">
        <f t="shared" si="67"/>
        <v/>
      </c>
      <c r="AA151" s="633" t="str">
        <f t="shared" si="68"/>
        <v/>
      </c>
      <c r="AB151" s="632" t="str">
        <f t="shared" si="69"/>
        <v/>
      </c>
      <c r="AC151" s="634" t="str">
        <f t="shared" si="70"/>
        <v/>
      </c>
      <c r="AD151" s="635" t="str">
        <f t="shared" si="71"/>
        <v/>
      </c>
      <c r="AE151" s="633" t="str">
        <f t="shared" si="72"/>
        <v/>
      </c>
      <c r="AF151" s="632" t="str">
        <f t="shared" si="73"/>
        <v/>
      </c>
      <c r="AG151" s="634" t="str">
        <f t="shared" si="74"/>
        <v/>
      </c>
      <c r="AH151" s="635" t="str">
        <f t="shared" si="75"/>
        <v/>
      </c>
      <c r="AI151" s="633" t="str">
        <f t="shared" si="76"/>
        <v/>
      </c>
      <c r="AJ151" s="632" t="str">
        <f t="shared" si="77"/>
        <v/>
      </c>
      <c r="AK151" s="636" t="str">
        <f t="shared" si="78"/>
        <v/>
      </c>
      <c r="AL151" s="637" t="str">
        <f t="shared" si="79"/>
        <v/>
      </c>
      <c r="AM151" s="633" t="str">
        <f t="shared" si="80"/>
        <v/>
      </c>
      <c r="AN151" s="38"/>
    </row>
    <row r="152" spans="1:40" ht="13.2" x14ac:dyDescent="0.25">
      <c r="A152" s="26"/>
      <c r="B152" s="38"/>
      <c r="C152" s="261" t="s">
        <v>441</v>
      </c>
      <c r="D152" s="644" t="str">
        <f>IF('WK2 - Notional General Income'!C130="","",'WK2 - Notional General Income'!C130)</f>
        <v/>
      </c>
      <c r="E152" s="635" t="str">
        <f>IF('WK2 - Notional General Income'!L130="","",'WK2 - Notional General Income'!L130/'WK2 - Notional General Income'!D130)</f>
        <v/>
      </c>
      <c r="F152" s="635" t="str">
        <f>IF('WK3 - Notional GI Yr1 YIELD'!L127="","",'WK3 - Notional GI Yr1 YIELD'!L127/'WK3 - Notional GI Yr1 YIELD'!D127)</f>
        <v/>
      </c>
      <c r="G152" s="472"/>
      <c r="H152" s="472"/>
      <c r="I152" s="472"/>
      <c r="J152" s="472"/>
      <c r="K152" s="472"/>
      <c r="L152" s="472"/>
      <c r="M152" s="38"/>
      <c r="N152" s="632" t="str">
        <f t="shared" si="55"/>
        <v/>
      </c>
      <c r="O152" s="633" t="str">
        <f t="shared" si="56"/>
        <v/>
      </c>
      <c r="P152" s="632" t="str">
        <f t="shared" si="57"/>
        <v/>
      </c>
      <c r="Q152" s="634" t="str">
        <f t="shared" si="58"/>
        <v/>
      </c>
      <c r="R152" s="635" t="str">
        <f t="shared" si="59"/>
        <v/>
      </c>
      <c r="S152" s="633" t="str">
        <f t="shared" si="60"/>
        <v/>
      </c>
      <c r="T152" s="632" t="str">
        <f t="shared" si="61"/>
        <v/>
      </c>
      <c r="U152" s="634" t="str">
        <f t="shared" si="62"/>
        <v/>
      </c>
      <c r="V152" s="635" t="str">
        <f t="shared" si="63"/>
        <v/>
      </c>
      <c r="W152" s="633" t="str">
        <f t="shared" si="64"/>
        <v/>
      </c>
      <c r="X152" s="632" t="str">
        <f t="shared" si="65"/>
        <v/>
      </c>
      <c r="Y152" s="634" t="str">
        <f t="shared" si="66"/>
        <v/>
      </c>
      <c r="Z152" s="635" t="str">
        <f t="shared" si="67"/>
        <v/>
      </c>
      <c r="AA152" s="633" t="str">
        <f t="shared" si="68"/>
        <v/>
      </c>
      <c r="AB152" s="632" t="str">
        <f t="shared" si="69"/>
        <v/>
      </c>
      <c r="AC152" s="634" t="str">
        <f t="shared" si="70"/>
        <v/>
      </c>
      <c r="AD152" s="635" t="str">
        <f t="shared" si="71"/>
        <v/>
      </c>
      <c r="AE152" s="633" t="str">
        <f t="shared" si="72"/>
        <v/>
      </c>
      <c r="AF152" s="632" t="str">
        <f t="shared" si="73"/>
        <v/>
      </c>
      <c r="AG152" s="634" t="str">
        <f t="shared" si="74"/>
        <v/>
      </c>
      <c r="AH152" s="635" t="str">
        <f t="shared" si="75"/>
        <v/>
      </c>
      <c r="AI152" s="633" t="str">
        <f t="shared" si="76"/>
        <v/>
      </c>
      <c r="AJ152" s="632" t="str">
        <f t="shared" si="77"/>
        <v/>
      </c>
      <c r="AK152" s="636" t="str">
        <f t="shared" si="78"/>
        <v/>
      </c>
      <c r="AL152" s="637" t="str">
        <f t="shared" si="79"/>
        <v/>
      </c>
      <c r="AM152" s="633" t="str">
        <f t="shared" si="80"/>
        <v/>
      </c>
      <c r="AN152" s="38"/>
    </row>
    <row r="153" spans="1:40" ht="13.2" x14ac:dyDescent="0.25">
      <c r="A153" s="26"/>
      <c r="B153" s="38"/>
      <c r="C153" s="261" t="s">
        <v>441</v>
      </c>
      <c r="D153" s="644" t="str">
        <f>IF('WK2 - Notional General Income'!C131="","",'WK2 - Notional General Income'!C131)</f>
        <v/>
      </c>
      <c r="E153" s="635" t="str">
        <f>IF('WK2 - Notional General Income'!L131="","",'WK2 - Notional General Income'!L131/'WK2 - Notional General Income'!D131)</f>
        <v/>
      </c>
      <c r="F153" s="635" t="str">
        <f>IF('WK3 - Notional GI Yr1 YIELD'!L128="","",'WK3 - Notional GI Yr1 YIELD'!L128/'WK3 - Notional GI Yr1 YIELD'!D128)</f>
        <v/>
      </c>
      <c r="G153" s="472"/>
      <c r="H153" s="472"/>
      <c r="I153" s="472"/>
      <c r="J153" s="472"/>
      <c r="K153" s="472"/>
      <c r="L153" s="472"/>
      <c r="M153" s="38"/>
      <c r="N153" s="632" t="str">
        <f t="shared" si="55"/>
        <v/>
      </c>
      <c r="O153" s="633" t="str">
        <f t="shared" si="56"/>
        <v/>
      </c>
      <c r="P153" s="632" t="str">
        <f t="shared" si="57"/>
        <v/>
      </c>
      <c r="Q153" s="634" t="str">
        <f t="shared" si="58"/>
        <v/>
      </c>
      <c r="R153" s="635" t="str">
        <f t="shared" si="59"/>
        <v/>
      </c>
      <c r="S153" s="633" t="str">
        <f t="shared" si="60"/>
        <v/>
      </c>
      <c r="T153" s="632" t="str">
        <f t="shared" si="61"/>
        <v/>
      </c>
      <c r="U153" s="634" t="str">
        <f t="shared" si="62"/>
        <v/>
      </c>
      <c r="V153" s="635" t="str">
        <f t="shared" si="63"/>
        <v/>
      </c>
      <c r="W153" s="633" t="str">
        <f t="shared" si="64"/>
        <v/>
      </c>
      <c r="X153" s="632" t="str">
        <f t="shared" si="65"/>
        <v/>
      </c>
      <c r="Y153" s="634" t="str">
        <f t="shared" si="66"/>
        <v/>
      </c>
      <c r="Z153" s="635" t="str">
        <f t="shared" si="67"/>
        <v/>
      </c>
      <c r="AA153" s="633" t="str">
        <f t="shared" si="68"/>
        <v/>
      </c>
      <c r="AB153" s="632" t="str">
        <f t="shared" si="69"/>
        <v/>
      </c>
      <c r="AC153" s="634" t="str">
        <f t="shared" si="70"/>
        <v/>
      </c>
      <c r="AD153" s="635" t="str">
        <f t="shared" si="71"/>
        <v/>
      </c>
      <c r="AE153" s="633" t="str">
        <f t="shared" si="72"/>
        <v/>
      </c>
      <c r="AF153" s="632" t="str">
        <f t="shared" si="73"/>
        <v/>
      </c>
      <c r="AG153" s="634" t="str">
        <f t="shared" si="74"/>
        <v/>
      </c>
      <c r="AH153" s="635" t="str">
        <f t="shared" si="75"/>
        <v/>
      </c>
      <c r="AI153" s="633" t="str">
        <f t="shared" si="76"/>
        <v/>
      </c>
      <c r="AJ153" s="632" t="str">
        <f t="shared" si="77"/>
        <v/>
      </c>
      <c r="AK153" s="636" t="str">
        <f t="shared" si="78"/>
        <v/>
      </c>
      <c r="AL153" s="637" t="str">
        <f t="shared" si="79"/>
        <v/>
      </c>
      <c r="AM153" s="633" t="str">
        <f t="shared" si="80"/>
        <v/>
      </c>
      <c r="AN153" s="38"/>
    </row>
    <row r="154" spans="1:40" ht="13.2" x14ac:dyDescent="0.25">
      <c r="A154" s="26"/>
      <c r="B154" s="38"/>
      <c r="C154" s="261" t="s">
        <v>441</v>
      </c>
      <c r="D154" s="644" t="str">
        <f>IF('WK2 - Notional General Income'!C132="","",'WK2 - Notional General Income'!C132)</f>
        <v/>
      </c>
      <c r="E154" s="635" t="str">
        <f>IF('WK2 - Notional General Income'!L132="","",'WK2 - Notional General Income'!L132/'WK2 - Notional General Income'!D132)</f>
        <v/>
      </c>
      <c r="F154" s="635" t="str">
        <f>IF('WK3 - Notional GI Yr1 YIELD'!L129="","",'WK3 - Notional GI Yr1 YIELD'!L129/'WK3 - Notional GI Yr1 YIELD'!D129)</f>
        <v/>
      </c>
      <c r="G154" s="472"/>
      <c r="H154" s="472"/>
      <c r="I154" s="472"/>
      <c r="J154" s="472"/>
      <c r="K154" s="472"/>
      <c r="L154" s="472"/>
      <c r="M154" s="38"/>
      <c r="N154" s="632" t="str">
        <f t="shared" si="55"/>
        <v/>
      </c>
      <c r="O154" s="633" t="str">
        <f t="shared" si="56"/>
        <v/>
      </c>
      <c r="P154" s="632" t="str">
        <f t="shared" si="57"/>
        <v/>
      </c>
      <c r="Q154" s="634" t="str">
        <f t="shared" si="58"/>
        <v/>
      </c>
      <c r="R154" s="635" t="str">
        <f t="shared" si="59"/>
        <v/>
      </c>
      <c r="S154" s="633" t="str">
        <f t="shared" si="60"/>
        <v/>
      </c>
      <c r="T154" s="632" t="str">
        <f t="shared" si="61"/>
        <v/>
      </c>
      <c r="U154" s="634" t="str">
        <f t="shared" si="62"/>
        <v/>
      </c>
      <c r="V154" s="635" t="str">
        <f t="shared" si="63"/>
        <v/>
      </c>
      <c r="W154" s="633" t="str">
        <f t="shared" si="64"/>
        <v/>
      </c>
      <c r="X154" s="632" t="str">
        <f t="shared" si="65"/>
        <v/>
      </c>
      <c r="Y154" s="634" t="str">
        <f t="shared" si="66"/>
        <v/>
      </c>
      <c r="Z154" s="635" t="str">
        <f t="shared" si="67"/>
        <v/>
      </c>
      <c r="AA154" s="633" t="str">
        <f t="shared" si="68"/>
        <v/>
      </c>
      <c r="AB154" s="632" t="str">
        <f t="shared" si="69"/>
        <v/>
      </c>
      <c r="AC154" s="634" t="str">
        <f t="shared" si="70"/>
        <v/>
      </c>
      <c r="AD154" s="635" t="str">
        <f t="shared" si="71"/>
        <v/>
      </c>
      <c r="AE154" s="633" t="str">
        <f t="shared" si="72"/>
        <v/>
      </c>
      <c r="AF154" s="632" t="str">
        <f t="shared" si="73"/>
        <v/>
      </c>
      <c r="AG154" s="634" t="str">
        <f t="shared" si="74"/>
        <v/>
      </c>
      <c r="AH154" s="635" t="str">
        <f t="shared" si="75"/>
        <v/>
      </c>
      <c r="AI154" s="633" t="str">
        <f t="shared" si="76"/>
        <v/>
      </c>
      <c r="AJ154" s="632" t="str">
        <f t="shared" si="77"/>
        <v/>
      </c>
      <c r="AK154" s="636" t="str">
        <f t="shared" si="78"/>
        <v/>
      </c>
      <c r="AL154" s="637" t="str">
        <f t="shared" si="79"/>
        <v/>
      </c>
      <c r="AM154" s="633" t="str">
        <f t="shared" si="80"/>
        <v/>
      </c>
      <c r="AN154" s="38"/>
    </row>
    <row r="155" spans="1:40" ht="13.2" x14ac:dyDescent="0.25">
      <c r="A155" s="26"/>
      <c r="B155" s="38"/>
      <c r="C155" s="261" t="s">
        <v>441</v>
      </c>
      <c r="D155" s="644" t="str">
        <f>IF('WK2 - Notional General Income'!C133="","",'WK2 - Notional General Income'!C133)</f>
        <v/>
      </c>
      <c r="E155" s="635" t="str">
        <f>IF('WK2 - Notional General Income'!L133="","",'WK2 - Notional General Income'!L133/'WK2 - Notional General Income'!D133)</f>
        <v/>
      </c>
      <c r="F155" s="635" t="str">
        <f>IF('WK3 - Notional GI Yr1 YIELD'!L130="","",'WK3 - Notional GI Yr1 YIELD'!L130/'WK3 - Notional GI Yr1 YIELD'!D130)</f>
        <v/>
      </c>
      <c r="G155" s="472"/>
      <c r="H155" s="472"/>
      <c r="I155" s="472"/>
      <c r="J155" s="472"/>
      <c r="K155" s="472"/>
      <c r="L155" s="472"/>
      <c r="M155" s="38"/>
      <c r="N155" s="632" t="str">
        <f t="shared" si="55"/>
        <v/>
      </c>
      <c r="O155" s="633" t="str">
        <f t="shared" si="56"/>
        <v/>
      </c>
      <c r="P155" s="632" t="str">
        <f t="shared" si="57"/>
        <v/>
      </c>
      <c r="Q155" s="634" t="str">
        <f t="shared" si="58"/>
        <v/>
      </c>
      <c r="R155" s="635" t="str">
        <f t="shared" si="59"/>
        <v/>
      </c>
      <c r="S155" s="633" t="str">
        <f t="shared" si="60"/>
        <v/>
      </c>
      <c r="T155" s="632" t="str">
        <f t="shared" si="61"/>
        <v/>
      </c>
      <c r="U155" s="634" t="str">
        <f t="shared" si="62"/>
        <v/>
      </c>
      <c r="V155" s="635" t="str">
        <f t="shared" si="63"/>
        <v/>
      </c>
      <c r="W155" s="633" t="str">
        <f t="shared" si="64"/>
        <v/>
      </c>
      <c r="X155" s="632" t="str">
        <f t="shared" si="65"/>
        <v/>
      </c>
      <c r="Y155" s="634" t="str">
        <f t="shared" si="66"/>
        <v/>
      </c>
      <c r="Z155" s="635" t="str">
        <f t="shared" si="67"/>
        <v/>
      </c>
      <c r="AA155" s="633" t="str">
        <f t="shared" si="68"/>
        <v/>
      </c>
      <c r="AB155" s="632" t="str">
        <f t="shared" si="69"/>
        <v/>
      </c>
      <c r="AC155" s="634" t="str">
        <f t="shared" si="70"/>
        <v/>
      </c>
      <c r="AD155" s="635" t="str">
        <f t="shared" si="71"/>
        <v/>
      </c>
      <c r="AE155" s="633" t="str">
        <f t="shared" si="72"/>
        <v/>
      </c>
      <c r="AF155" s="632" t="str">
        <f t="shared" si="73"/>
        <v/>
      </c>
      <c r="AG155" s="634" t="str">
        <f t="shared" si="74"/>
        <v/>
      </c>
      <c r="AH155" s="635" t="str">
        <f t="shared" si="75"/>
        <v/>
      </c>
      <c r="AI155" s="633" t="str">
        <f t="shared" si="76"/>
        <v/>
      </c>
      <c r="AJ155" s="632" t="str">
        <f t="shared" si="77"/>
        <v/>
      </c>
      <c r="AK155" s="636" t="str">
        <f t="shared" si="78"/>
        <v/>
      </c>
      <c r="AL155" s="637" t="str">
        <f t="shared" si="79"/>
        <v/>
      </c>
      <c r="AM155" s="633" t="str">
        <f t="shared" si="80"/>
        <v/>
      </c>
      <c r="AN155" s="38"/>
    </row>
    <row r="156" spans="1:40" ht="13.2" x14ac:dyDescent="0.25">
      <c r="A156" s="26"/>
      <c r="B156" s="38"/>
      <c r="C156" s="261" t="s">
        <v>441</v>
      </c>
      <c r="D156" s="644" t="str">
        <f>IF('WK2 - Notional General Income'!C134="","",'WK2 - Notional General Income'!C134)</f>
        <v/>
      </c>
      <c r="E156" s="635" t="str">
        <f>IF('WK2 - Notional General Income'!L134="","",'WK2 - Notional General Income'!L134/'WK2 - Notional General Income'!D134)</f>
        <v/>
      </c>
      <c r="F156" s="635" t="str">
        <f>IF('WK3 - Notional GI Yr1 YIELD'!L131="","",'WK3 - Notional GI Yr1 YIELD'!L131/'WK3 - Notional GI Yr1 YIELD'!D131)</f>
        <v/>
      </c>
      <c r="G156" s="472"/>
      <c r="H156" s="472"/>
      <c r="I156" s="472"/>
      <c r="J156" s="472"/>
      <c r="K156" s="472"/>
      <c r="L156" s="472"/>
      <c r="M156" s="38"/>
      <c r="N156" s="632" t="str">
        <f t="shared" si="55"/>
        <v/>
      </c>
      <c r="O156" s="633" t="str">
        <f t="shared" si="56"/>
        <v/>
      </c>
      <c r="P156" s="632" t="str">
        <f t="shared" si="57"/>
        <v/>
      </c>
      <c r="Q156" s="634" t="str">
        <f t="shared" si="58"/>
        <v/>
      </c>
      <c r="R156" s="635" t="str">
        <f t="shared" si="59"/>
        <v/>
      </c>
      <c r="S156" s="633" t="str">
        <f t="shared" si="60"/>
        <v/>
      </c>
      <c r="T156" s="632" t="str">
        <f t="shared" si="61"/>
        <v/>
      </c>
      <c r="U156" s="634" t="str">
        <f t="shared" si="62"/>
        <v/>
      </c>
      <c r="V156" s="635" t="str">
        <f t="shared" si="63"/>
        <v/>
      </c>
      <c r="W156" s="633" t="str">
        <f t="shared" si="64"/>
        <v/>
      </c>
      <c r="X156" s="632" t="str">
        <f t="shared" si="65"/>
        <v/>
      </c>
      <c r="Y156" s="634" t="str">
        <f t="shared" si="66"/>
        <v/>
      </c>
      <c r="Z156" s="635" t="str">
        <f t="shared" si="67"/>
        <v/>
      </c>
      <c r="AA156" s="633" t="str">
        <f t="shared" si="68"/>
        <v/>
      </c>
      <c r="AB156" s="632" t="str">
        <f t="shared" si="69"/>
        <v/>
      </c>
      <c r="AC156" s="634" t="str">
        <f t="shared" si="70"/>
        <v/>
      </c>
      <c r="AD156" s="635" t="str">
        <f t="shared" si="71"/>
        <v/>
      </c>
      <c r="AE156" s="633" t="str">
        <f t="shared" si="72"/>
        <v/>
      </c>
      <c r="AF156" s="632" t="str">
        <f t="shared" si="73"/>
        <v/>
      </c>
      <c r="AG156" s="634" t="str">
        <f t="shared" si="74"/>
        <v/>
      </c>
      <c r="AH156" s="635" t="str">
        <f t="shared" si="75"/>
        <v/>
      </c>
      <c r="AI156" s="633" t="str">
        <f t="shared" si="76"/>
        <v/>
      </c>
      <c r="AJ156" s="632" t="str">
        <f t="shared" si="77"/>
        <v/>
      </c>
      <c r="AK156" s="636" t="str">
        <f t="shared" si="78"/>
        <v/>
      </c>
      <c r="AL156" s="637" t="str">
        <f t="shared" si="79"/>
        <v/>
      </c>
      <c r="AM156" s="633" t="str">
        <f t="shared" si="80"/>
        <v/>
      </c>
      <c r="AN156" s="38"/>
    </row>
    <row r="157" spans="1:40" s="162" customFormat="1" ht="13.2" x14ac:dyDescent="0.25">
      <c r="A157" s="454"/>
      <c r="B157" s="455"/>
      <c r="C157" s="473"/>
      <c r="D157" s="473" t="s">
        <v>419</v>
      </c>
      <c r="E157" s="635">
        <f>IF(SUM(E137:E156)=0,"",('WK2 - Notional General Income'!L74+SUM('WK2 - Notional General Income'!L125:L128))/'WK2 - Notional General Income'!D74)</f>
        <v>2345.9813864281959</v>
      </c>
      <c r="F157" s="635">
        <f>IF(SUM(F137:F156)=0,"",('WK3 - Notional GI Yr1 YIELD'!L71+SUM('WK3 - Notional GI Yr1 YIELD'!L122:L131))/'WK3 - Notional GI Yr1 YIELD'!D71)</f>
        <v>2399.8189186743816</v>
      </c>
      <c r="G157" s="635">
        <f>G516/'WK3 - Notional GI Yr1 YIELD'!$D$71</f>
        <v>2459.8143916412405</v>
      </c>
      <c r="H157" s="635">
        <f>H516/'WK3 - Notional GI Yr1 YIELD'!$D$71</f>
        <v>2521.3097514322722</v>
      </c>
      <c r="I157" s="635">
        <f>I516/'WK3 - Notional GI Yr1 YIELD'!$D$71</f>
        <v>2584.3424952180781</v>
      </c>
      <c r="J157" s="635">
        <f>J516/'WK3 - Notional GI Yr1 YIELD'!$D$71</f>
        <v>2648.9510575985296</v>
      </c>
      <c r="K157" s="635">
        <f>K516/'WK3 - Notional GI Yr1 YIELD'!$D$71</f>
        <v>0</v>
      </c>
      <c r="L157" s="635">
        <f>L516/'WK3 - Notional GI Yr1 YIELD'!$D$71</f>
        <v>0</v>
      </c>
      <c r="M157" s="455"/>
      <c r="N157" s="632">
        <f t="shared" si="55"/>
        <v>53.837532246185674</v>
      </c>
      <c r="O157" s="633">
        <f t="shared" si="56"/>
        <v>2.2948831801327462E-2</v>
      </c>
      <c r="P157" s="632">
        <f t="shared" si="57"/>
        <v>59.99547296685887</v>
      </c>
      <c r="Q157" s="634">
        <f t="shared" si="58"/>
        <v>2.499999999999972E-2</v>
      </c>
      <c r="R157" s="635">
        <f t="shared" si="59"/>
        <v>113.83300521304454</v>
      </c>
      <c r="S157" s="633">
        <f t="shared" si="60"/>
        <v>4.852255259636036E-2</v>
      </c>
      <c r="T157" s="632">
        <f t="shared" si="61"/>
        <v>61.49535979103166</v>
      </c>
      <c r="U157" s="634">
        <f t="shared" si="62"/>
        <v>2.5000000000000265E-2</v>
      </c>
      <c r="V157" s="635">
        <f t="shared" si="63"/>
        <v>175.3283650040762</v>
      </c>
      <c r="W157" s="633">
        <f t="shared" si="64"/>
        <v>7.4735616411269648E-2</v>
      </c>
      <c r="X157" s="632">
        <f t="shared" si="65"/>
        <v>63.032743785805906</v>
      </c>
      <c r="Y157" s="634">
        <f t="shared" si="66"/>
        <v>2.4999999999999644E-2</v>
      </c>
      <c r="Z157" s="635">
        <f t="shared" si="67"/>
        <v>238.36110878988211</v>
      </c>
      <c r="AA157" s="633">
        <f t="shared" si="68"/>
        <v>0.101604006821551</v>
      </c>
      <c r="AB157" s="632">
        <f t="shared" si="69"/>
        <v>64.608562380451531</v>
      </c>
      <c r="AC157" s="634">
        <f t="shared" si="70"/>
        <v>2.4999999999999838E-2</v>
      </c>
      <c r="AD157" s="635">
        <f t="shared" si="71"/>
        <v>302.96967117033364</v>
      </c>
      <c r="AE157" s="633">
        <f t="shared" si="72"/>
        <v>0.12914410699208961</v>
      </c>
      <c r="AF157" s="632" t="str">
        <f t="shared" si="73"/>
        <v/>
      </c>
      <c r="AG157" s="634" t="str">
        <f t="shared" si="74"/>
        <v/>
      </c>
      <c r="AH157" s="635" t="str">
        <f t="shared" si="75"/>
        <v/>
      </c>
      <c r="AI157" s="633" t="str">
        <f t="shared" si="76"/>
        <v/>
      </c>
      <c r="AJ157" s="632" t="str">
        <f t="shared" si="77"/>
        <v/>
      </c>
      <c r="AK157" s="636" t="str">
        <f t="shared" si="78"/>
        <v/>
      </c>
      <c r="AL157" s="637" t="str">
        <f t="shared" si="79"/>
        <v/>
      </c>
      <c r="AM157" s="633" t="str">
        <f t="shared" si="80"/>
        <v/>
      </c>
      <c r="AN157" s="455"/>
    </row>
    <row r="158" spans="1:40" ht="13.2" x14ac:dyDescent="0.25">
      <c r="A158" s="26"/>
      <c r="B158" s="38"/>
      <c r="C158" s="261" t="s">
        <v>208</v>
      </c>
      <c r="D158" s="644" t="str">
        <f>IF('WK2 - Notional General Income'!C75="","",'WK2 - Notional General Income'!C75)</f>
        <v/>
      </c>
      <c r="E158" s="635" t="str">
        <f>IF('WK2 - Notional General Income'!L75="","",'WK2 - Notional General Income'!L75/'WK2 - Notional General Income'!D75)</f>
        <v/>
      </c>
      <c r="F158" s="635" t="str">
        <f>IF('WK3 - Notional GI Yr1 YIELD'!L72="","",'WK3 - Notional GI Yr1 YIELD'!L72/'WK3 - Notional GI Yr1 YIELD'!D72)</f>
        <v/>
      </c>
      <c r="G158" s="472"/>
      <c r="H158" s="472"/>
      <c r="I158" s="472"/>
      <c r="J158" s="472"/>
      <c r="K158" s="472"/>
      <c r="L158" s="472"/>
      <c r="M158" s="38"/>
      <c r="N158" s="632" t="str">
        <f t="shared" si="55"/>
        <v/>
      </c>
      <c r="O158" s="633" t="str">
        <f t="shared" si="56"/>
        <v/>
      </c>
      <c r="P158" s="632" t="str">
        <f t="shared" si="57"/>
        <v/>
      </c>
      <c r="Q158" s="634" t="str">
        <f t="shared" si="58"/>
        <v/>
      </c>
      <c r="R158" s="635" t="str">
        <f t="shared" si="59"/>
        <v/>
      </c>
      <c r="S158" s="633" t="str">
        <f t="shared" si="60"/>
        <v/>
      </c>
      <c r="T158" s="632" t="str">
        <f t="shared" si="61"/>
        <v/>
      </c>
      <c r="U158" s="634" t="str">
        <f t="shared" si="62"/>
        <v/>
      </c>
      <c r="V158" s="635" t="str">
        <f t="shared" si="63"/>
        <v/>
      </c>
      <c r="W158" s="633" t="str">
        <f t="shared" si="64"/>
        <v/>
      </c>
      <c r="X158" s="632" t="str">
        <f t="shared" si="65"/>
        <v/>
      </c>
      <c r="Y158" s="634" t="str">
        <f t="shared" si="66"/>
        <v/>
      </c>
      <c r="Z158" s="635" t="str">
        <f t="shared" si="67"/>
        <v/>
      </c>
      <c r="AA158" s="633" t="str">
        <f t="shared" si="68"/>
        <v/>
      </c>
      <c r="AB158" s="632" t="str">
        <f t="shared" si="69"/>
        <v/>
      </c>
      <c r="AC158" s="634" t="str">
        <f t="shared" si="70"/>
        <v/>
      </c>
      <c r="AD158" s="635" t="str">
        <f t="shared" si="71"/>
        <v/>
      </c>
      <c r="AE158" s="633" t="str">
        <f t="shared" si="72"/>
        <v/>
      </c>
      <c r="AF158" s="632" t="str">
        <f t="shared" si="73"/>
        <v/>
      </c>
      <c r="AG158" s="634" t="str">
        <f t="shared" si="74"/>
        <v/>
      </c>
      <c r="AH158" s="635" t="str">
        <f t="shared" si="75"/>
        <v/>
      </c>
      <c r="AI158" s="633" t="str">
        <f t="shared" si="76"/>
        <v/>
      </c>
      <c r="AJ158" s="632" t="str">
        <f t="shared" si="77"/>
        <v/>
      </c>
      <c r="AK158" s="636" t="str">
        <f t="shared" si="78"/>
        <v/>
      </c>
      <c r="AL158" s="637" t="str">
        <f t="shared" si="79"/>
        <v/>
      </c>
      <c r="AM158" s="633" t="str">
        <f t="shared" si="80"/>
        <v/>
      </c>
      <c r="AN158" s="38"/>
    </row>
    <row r="159" spans="1:40" ht="13.2" x14ac:dyDescent="0.25">
      <c r="A159" s="26"/>
      <c r="B159" s="38"/>
      <c r="C159" s="261" t="s">
        <v>208</v>
      </c>
      <c r="D159" s="644" t="str">
        <f>IF('WK2 - Notional General Income'!C76="","",'WK2 - Notional General Income'!C76)</f>
        <v/>
      </c>
      <c r="E159" s="635" t="str">
        <f>IF('WK2 - Notional General Income'!L76="","",'WK2 - Notional General Income'!L76/'WK2 - Notional General Income'!D76)</f>
        <v/>
      </c>
      <c r="F159" s="635" t="str">
        <f>IF('WK3 - Notional GI Yr1 YIELD'!L73="","",'WK3 - Notional GI Yr1 YIELD'!L73/'WK3 - Notional GI Yr1 YIELD'!D73)</f>
        <v/>
      </c>
      <c r="G159" s="472"/>
      <c r="H159" s="472"/>
      <c r="I159" s="472"/>
      <c r="J159" s="472"/>
      <c r="K159" s="472"/>
      <c r="L159" s="472"/>
      <c r="M159" s="38"/>
      <c r="N159" s="632" t="str">
        <f t="shared" si="55"/>
        <v/>
      </c>
      <c r="O159" s="633" t="str">
        <f t="shared" si="56"/>
        <v/>
      </c>
      <c r="P159" s="632" t="str">
        <f t="shared" si="57"/>
        <v/>
      </c>
      <c r="Q159" s="634" t="str">
        <f t="shared" si="58"/>
        <v/>
      </c>
      <c r="R159" s="635" t="str">
        <f t="shared" si="59"/>
        <v/>
      </c>
      <c r="S159" s="633" t="str">
        <f t="shared" si="60"/>
        <v/>
      </c>
      <c r="T159" s="632" t="str">
        <f t="shared" si="61"/>
        <v/>
      </c>
      <c r="U159" s="634" t="str">
        <f t="shared" si="62"/>
        <v/>
      </c>
      <c r="V159" s="635" t="str">
        <f t="shared" si="63"/>
        <v/>
      </c>
      <c r="W159" s="633" t="str">
        <f t="shared" si="64"/>
        <v/>
      </c>
      <c r="X159" s="632" t="str">
        <f t="shared" si="65"/>
        <v/>
      </c>
      <c r="Y159" s="634" t="str">
        <f t="shared" si="66"/>
        <v/>
      </c>
      <c r="Z159" s="635" t="str">
        <f t="shared" si="67"/>
        <v/>
      </c>
      <c r="AA159" s="633" t="str">
        <f t="shared" si="68"/>
        <v/>
      </c>
      <c r="AB159" s="632" t="str">
        <f t="shared" si="69"/>
        <v/>
      </c>
      <c r="AC159" s="634" t="str">
        <f t="shared" si="70"/>
        <v/>
      </c>
      <c r="AD159" s="635" t="str">
        <f t="shared" si="71"/>
        <v/>
      </c>
      <c r="AE159" s="633" t="str">
        <f t="shared" si="72"/>
        <v/>
      </c>
      <c r="AF159" s="632" t="str">
        <f t="shared" si="73"/>
        <v/>
      </c>
      <c r="AG159" s="634" t="str">
        <f t="shared" si="74"/>
        <v/>
      </c>
      <c r="AH159" s="635" t="str">
        <f t="shared" si="75"/>
        <v/>
      </c>
      <c r="AI159" s="633" t="str">
        <f t="shared" si="76"/>
        <v/>
      </c>
      <c r="AJ159" s="632" t="str">
        <f t="shared" si="77"/>
        <v/>
      </c>
      <c r="AK159" s="636" t="str">
        <f t="shared" si="78"/>
        <v/>
      </c>
      <c r="AL159" s="637" t="str">
        <f t="shared" si="79"/>
        <v/>
      </c>
      <c r="AM159" s="633" t="str">
        <f t="shared" si="80"/>
        <v/>
      </c>
      <c r="AN159" s="38"/>
    </row>
    <row r="160" spans="1:40" ht="13.2" x14ac:dyDescent="0.25">
      <c r="A160" s="26"/>
      <c r="B160" s="38"/>
      <c r="C160" s="261" t="s">
        <v>208</v>
      </c>
      <c r="D160" s="644" t="str">
        <f>IF('WK2 - Notional General Income'!C77="","",'WK2 - Notional General Income'!C77)</f>
        <v/>
      </c>
      <c r="E160" s="635" t="str">
        <f>IF('WK2 - Notional General Income'!L77="","",'WK2 - Notional General Income'!L77/'WK2 - Notional General Income'!D77)</f>
        <v/>
      </c>
      <c r="F160" s="635" t="str">
        <f>IF('WK3 - Notional GI Yr1 YIELD'!L74="","",'WK3 - Notional GI Yr1 YIELD'!L74/'WK3 - Notional GI Yr1 YIELD'!D74)</f>
        <v/>
      </c>
      <c r="G160" s="472"/>
      <c r="H160" s="472"/>
      <c r="I160" s="472"/>
      <c r="J160" s="472"/>
      <c r="K160" s="472"/>
      <c r="L160" s="472"/>
      <c r="M160" s="38"/>
      <c r="N160" s="632" t="str">
        <f t="shared" si="55"/>
        <v/>
      </c>
      <c r="O160" s="633" t="str">
        <f t="shared" si="56"/>
        <v/>
      </c>
      <c r="P160" s="632" t="str">
        <f t="shared" si="57"/>
        <v/>
      </c>
      <c r="Q160" s="634" t="str">
        <f t="shared" si="58"/>
        <v/>
      </c>
      <c r="R160" s="635" t="str">
        <f t="shared" si="59"/>
        <v/>
      </c>
      <c r="S160" s="633" t="str">
        <f t="shared" si="60"/>
        <v/>
      </c>
      <c r="T160" s="632" t="str">
        <f t="shared" si="61"/>
        <v/>
      </c>
      <c r="U160" s="634" t="str">
        <f t="shared" si="62"/>
        <v/>
      </c>
      <c r="V160" s="635" t="str">
        <f t="shared" si="63"/>
        <v/>
      </c>
      <c r="W160" s="633" t="str">
        <f t="shared" si="64"/>
        <v/>
      </c>
      <c r="X160" s="632" t="str">
        <f t="shared" si="65"/>
        <v/>
      </c>
      <c r="Y160" s="634" t="str">
        <f t="shared" si="66"/>
        <v/>
      </c>
      <c r="Z160" s="635" t="str">
        <f t="shared" si="67"/>
        <v/>
      </c>
      <c r="AA160" s="633" t="str">
        <f t="shared" si="68"/>
        <v/>
      </c>
      <c r="AB160" s="632" t="str">
        <f t="shared" si="69"/>
        <v/>
      </c>
      <c r="AC160" s="634" t="str">
        <f t="shared" si="70"/>
        <v/>
      </c>
      <c r="AD160" s="635" t="str">
        <f t="shared" si="71"/>
        <v/>
      </c>
      <c r="AE160" s="633" t="str">
        <f t="shared" si="72"/>
        <v/>
      </c>
      <c r="AF160" s="632" t="str">
        <f t="shared" si="73"/>
        <v/>
      </c>
      <c r="AG160" s="634" t="str">
        <f t="shared" si="74"/>
        <v/>
      </c>
      <c r="AH160" s="635" t="str">
        <f t="shared" si="75"/>
        <v/>
      </c>
      <c r="AI160" s="633" t="str">
        <f t="shared" si="76"/>
        <v/>
      </c>
      <c r="AJ160" s="632" t="str">
        <f t="shared" si="77"/>
        <v/>
      </c>
      <c r="AK160" s="636" t="str">
        <f t="shared" si="78"/>
        <v/>
      </c>
      <c r="AL160" s="637" t="str">
        <f t="shared" si="79"/>
        <v/>
      </c>
      <c r="AM160" s="633" t="str">
        <f t="shared" si="80"/>
        <v/>
      </c>
      <c r="AN160" s="38"/>
    </row>
    <row r="161" spans="1:40" ht="13.2" x14ac:dyDescent="0.25">
      <c r="A161" s="26"/>
      <c r="B161" s="38"/>
      <c r="C161" s="261" t="s">
        <v>208</v>
      </c>
      <c r="D161" s="644" t="str">
        <f>IF('WK2 - Notional General Income'!C78="","",'WK2 - Notional General Income'!C78)</f>
        <v/>
      </c>
      <c r="E161" s="635" t="str">
        <f>IF('WK2 - Notional General Income'!L78="","",'WK2 - Notional General Income'!L78/'WK2 - Notional General Income'!D78)</f>
        <v/>
      </c>
      <c r="F161" s="635" t="str">
        <f>IF('WK3 - Notional GI Yr1 YIELD'!L75="","",'WK3 - Notional GI Yr1 YIELD'!L75/'WK3 - Notional GI Yr1 YIELD'!D75)</f>
        <v/>
      </c>
      <c r="G161" s="472"/>
      <c r="H161" s="472"/>
      <c r="I161" s="472"/>
      <c r="J161" s="472"/>
      <c r="K161" s="472"/>
      <c r="L161" s="472"/>
      <c r="M161" s="38"/>
      <c r="N161" s="632" t="str">
        <f t="shared" si="55"/>
        <v/>
      </c>
      <c r="O161" s="633" t="str">
        <f t="shared" si="56"/>
        <v/>
      </c>
      <c r="P161" s="632" t="str">
        <f t="shared" si="57"/>
        <v/>
      </c>
      <c r="Q161" s="634" t="str">
        <f t="shared" si="58"/>
        <v/>
      </c>
      <c r="R161" s="635" t="str">
        <f t="shared" si="59"/>
        <v/>
      </c>
      <c r="S161" s="633" t="str">
        <f t="shared" si="60"/>
        <v/>
      </c>
      <c r="T161" s="632" t="str">
        <f t="shared" si="61"/>
        <v/>
      </c>
      <c r="U161" s="634" t="str">
        <f t="shared" si="62"/>
        <v/>
      </c>
      <c r="V161" s="635" t="str">
        <f t="shared" si="63"/>
        <v/>
      </c>
      <c r="W161" s="633" t="str">
        <f t="shared" si="64"/>
        <v/>
      </c>
      <c r="X161" s="632" t="str">
        <f t="shared" si="65"/>
        <v/>
      </c>
      <c r="Y161" s="634" t="str">
        <f t="shared" si="66"/>
        <v/>
      </c>
      <c r="Z161" s="635" t="str">
        <f t="shared" si="67"/>
        <v/>
      </c>
      <c r="AA161" s="633" t="str">
        <f t="shared" si="68"/>
        <v/>
      </c>
      <c r="AB161" s="632" t="str">
        <f t="shared" si="69"/>
        <v/>
      </c>
      <c r="AC161" s="634" t="str">
        <f t="shared" si="70"/>
        <v/>
      </c>
      <c r="AD161" s="635" t="str">
        <f t="shared" si="71"/>
        <v/>
      </c>
      <c r="AE161" s="633" t="str">
        <f t="shared" si="72"/>
        <v/>
      </c>
      <c r="AF161" s="632" t="str">
        <f t="shared" si="73"/>
        <v/>
      </c>
      <c r="AG161" s="634" t="str">
        <f t="shared" si="74"/>
        <v/>
      </c>
      <c r="AH161" s="635" t="str">
        <f t="shared" si="75"/>
        <v/>
      </c>
      <c r="AI161" s="633" t="str">
        <f t="shared" si="76"/>
        <v/>
      </c>
      <c r="AJ161" s="632" t="str">
        <f t="shared" si="77"/>
        <v/>
      </c>
      <c r="AK161" s="636" t="str">
        <f t="shared" si="78"/>
        <v/>
      </c>
      <c r="AL161" s="637" t="str">
        <f t="shared" si="79"/>
        <v/>
      </c>
      <c r="AM161" s="633" t="str">
        <f t="shared" si="80"/>
        <v/>
      </c>
      <c r="AN161" s="38"/>
    </row>
    <row r="162" spans="1:40" ht="13.2" x14ac:dyDescent="0.25">
      <c r="A162" s="26"/>
      <c r="B162" s="38"/>
      <c r="C162" s="261" t="s">
        <v>208</v>
      </c>
      <c r="D162" s="644" t="str">
        <f>IF('WK2 - Notional General Income'!C79="","",'WK2 - Notional General Income'!C79)</f>
        <v/>
      </c>
      <c r="E162" s="635" t="str">
        <f>IF('WK2 - Notional General Income'!L79="","",'WK2 - Notional General Income'!L79/'WK2 - Notional General Income'!D79)</f>
        <v/>
      </c>
      <c r="F162" s="635" t="str">
        <f>IF('WK3 - Notional GI Yr1 YIELD'!L76="","",'WK3 - Notional GI Yr1 YIELD'!L76/'WK3 - Notional GI Yr1 YIELD'!D76)</f>
        <v/>
      </c>
      <c r="G162" s="472"/>
      <c r="H162" s="472"/>
      <c r="I162" s="472"/>
      <c r="J162" s="472"/>
      <c r="K162" s="472"/>
      <c r="L162" s="472"/>
      <c r="M162" s="38"/>
      <c r="N162" s="632" t="str">
        <f t="shared" si="55"/>
        <v/>
      </c>
      <c r="O162" s="633" t="str">
        <f t="shared" si="56"/>
        <v/>
      </c>
      <c r="P162" s="632" t="str">
        <f t="shared" si="57"/>
        <v/>
      </c>
      <c r="Q162" s="634" t="str">
        <f t="shared" si="58"/>
        <v/>
      </c>
      <c r="R162" s="635" t="str">
        <f t="shared" si="59"/>
        <v/>
      </c>
      <c r="S162" s="633" t="str">
        <f t="shared" si="60"/>
        <v/>
      </c>
      <c r="T162" s="632" t="str">
        <f t="shared" si="61"/>
        <v/>
      </c>
      <c r="U162" s="634" t="str">
        <f t="shared" si="62"/>
        <v/>
      </c>
      <c r="V162" s="635" t="str">
        <f t="shared" si="63"/>
        <v/>
      </c>
      <c r="W162" s="633" t="str">
        <f t="shared" si="64"/>
        <v/>
      </c>
      <c r="X162" s="632" t="str">
        <f t="shared" si="65"/>
        <v/>
      </c>
      <c r="Y162" s="634" t="str">
        <f t="shared" si="66"/>
        <v/>
      </c>
      <c r="Z162" s="635" t="str">
        <f t="shared" si="67"/>
        <v/>
      </c>
      <c r="AA162" s="633" t="str">
        <f t="shared" si="68"/>
        <v/>
      </c>
      <c r="AB162" s="632" t="str">
        <f t="shared" si="69"/>
        <v/>
      </c>
      <c r="AC162" s="634" t="str">
        <f t="shared" si="70"/>
        <v/>
      </c>
      <c r="AD162" s="635" t="str">
        <f t="shared" si="71"/>
        <v/>
      </c>
      <c r="AE162" s="633" t="str">
        <f t="shared" si="72"/>
        <v/>
      </c>
      <c r="AF162" s="632" t="str">
        <f t="shared" si="73"/>
        <v/>
      </c>
      <c r="AG162" s="634" t="str">
        <f t="shared" si="74"/>
        <v/>
      </c>
      <c r="AH162" s="635" t="str">
        <f t="shared" si="75"/>
        <v/>
      </c>
      <c r="AI162" s="633" t="str">
        <f t="shared" si="76"/>
        <v/>
      </c>
      <c r="AJ162" s="632" t="str">
        <f t="shared" si="77"/>
        <v/>
      </c>
      <c r="AK162" s="636" t="str">
        <f t="shared" si="78"/>
        <v/>
      </c>
      <c r="AL162" s="637" t="str">
        <f t="shared" si="79"/>
        <v/>
      </c>
      <c r="AM162" s="633" t="str">
        <f t="shared" si="80"/>
        <v/>
      </c>
      <c r="AN162" s="38"/>
    </row>
    <row r="163" spans="1:40" ht="13.2" x14ac:dyDescent="0.25">
      <c r="A163" s="26"/>
      <c r="B163" s="38"/>
      <c r="C163" s="261" t="s">
        <v>208</v>
      </c>
      <c r="D163" s="644" t="str">
        <f>IF('WK2 - Notional General Income'!C80="","",'WK2 - Notional General Income'!C80)</f>
        <v/>
      </c>
      <c r="E163" s="635" t="str">
        <f>IF('WK2 - Notional General Income'!L80="","",'WK2 - Notional General Income'!L80/'WK2 - Notional General Income'!D80)</f>
        <v/>
      </c>
      <c r="F163" s="635" t="str">
        <f>IF('WK3 - Notional GI Yr1 YIELD'!L77="","",'WK3 - Notional GI Yr1 YIELD'!L77/'WK3 - Notional GI Yr1 YIELD'!D77)</f>
        <v/>
      </c>
      <c r="G163" s="472"/>
      <c r="H163" s="472"/>
      <c r="I163" s="472"/>
      <c r="J163" s="472"/>
      <c r="K163" s="472"/>
      <c r="L163" s="472"/>
      <c r="M163" s="38"/>
      <c r="N163" s="632" t="str">
        <f t="shared" si="55"/>
        <v/>
      </c>
      <c r="O163" s="633" t="str">
        <f t="shared" si="56"/>
        <v/>
      </c>
      <c r="P163" s="632" t="str">
        <f t="shared" si="57"/>
        <v/>
      </c>
      <c r="Q163" s="634" t="str">
        <f t="shared" si="58"/>
        <v/>
      </c>
      <c r="R163" s="635" t="str">
        <f t="shared" si="59"/>
        <v/>
      </c>
      <c r="S163" s="633" t="str">
        <f t="shared" si="60"/>
        <v/>
      </c>
      <c r="T163" s="632" t="str">
        <f t="shared" si="61"/>
        <v/>
      </c>
      <c r="U163" s="634" t="str">
        <f t="shared" si="62"/>
        <v/>
      </c>
      <c r="V163" s="635" t="str">
        <f t="shared" si="63"/>
        <v/>
      </c>
      <c r="W163" s="633" t="str">
        <f t="shared" si="64"/>
        <v/>
      </c>
      <c r="X163" s="632" t="str">
        <f t="shared" si="65"/>
        <v/>
      </c>
      <c r="Y163" s="634" t="str">
        <f t="shared" si="66"/>
        <v/>
      </c>
      <c r="Z163" s="635" t="str">
        <f t="shared" si="67"/>
        <v/>
      </c>
      <c r="AA163" s="633" t="str">
        <f t="shared" si="68"/>
        <v/>
      </c>
      <c r="AB163" s="632" t="str">
        <f t="shared" si="69"/>
        <v/>
      </c>
      <c r="AC163" s="634" t="str">
        <f t="shared" si="70"/>
        <v/>
      </c>
      <c r="AD163" s="635" t="str">
        <f t="shared" si="71"/>
        <v/>
      </c>
      <c r="AE163" s="633" t="str">
        <f t="shared" si="72"/>
        <v/>
      </c>
      <c r="AF163" s="632" t="str">
        <f t="shared" si="73"/>
        <v/>
      </c>
      <c r="AG163" s="634" t="str">
        <f t="shared" si="74"/>
        <v/>
      </c>
      <c r="AH163" s="635" t="str">
        <f t="shared" si="75"/>
        <v/>
      </c>
      <c r="AI163" s="633" t="str">
        <f t="shared" si="76"/>
        <v/>
      </c>
      <c r="AJ163" s="632" t="str">
        <f t="shared" si="77"/>
        <v/>
      </c>
      <c r="AK163" s="636" t="str">
        <f t="shared" si="78"/>
        <v/>
      </c>
      <c r="AL163" s="637" t="str">
        <f t="shared" si="79"/>
        <v/>
      </c>
      <c r="AM163" s="633" t="str">
        <f t="shared" si="80"/>
        <v/>
      </c>
      <c r="AN163" s="38"/>
    </row>
    <row r="164" spans="1:40" ht="13.2" x14ac:dyDescent="0.25">
      <c r="A164" s="26"/>
      <c r="B164" s="38"/>
      <c r="C164" s="261" t="s">
        <v>208</v>
      </c>
      <c r="D164" s="644" t="str">
        <f>IF('WK2 - Notional General Income'!C81="","",'WK2 - Notional General Income'!C81)</f>
        <v/>
      </c>
      <c r="E164" s="635" t="str">
        <f>IF('WK2 - Notional General Income'!L81="","",'WK2 - Notional General Income'!L81/'WK2 - Notional General Income'!D81)</f>
        <v/>
      </c>
      <c r="F164" s="635" t="str">
        <f>IF('WK3 - Notional GI Yr1 YIELD'!L78="","",'WK3 - Notional GI Yr1 YIELD'!L78/'WK3 - Notional GI Yr1 YIELD'!D78)</f>
        <v/>
      </c>
      <c r="G164" s="472"/>
      <c r="H164" s="472"/>
      <c r="I164" s="472"/>
      <c r="J164" s="472"/>
      <c r="K164" s="472"/>
      <c r="L164" s="472"/>
      <c r="M164" s="38"/>
      <c r="N164" s="632" t="str">
        <f t="shared" si="55"/>
        <v/>
      </c>
      <c r="O164" s="633" t="str">
        <f t="shared" si="56"/>
        <v/>
      </c>
      <c r="P164" s="632" t="str">
        <f t="shared" si="57"/>
        <v/>
      </c>
      <c r="Q164" s="634" t="str">
        <f t="shared" si="58"/>
        <v/>
      </c>
      <c r="R164" s="635" t="str">
        <f t="shared" si="59"/>
        <v/>
      </c>
      <c r="S164" s="633" t="str">
        <f t="shared" si="60"/>
        <v/>
      </c>
      <c r="T164" s="632" t="str">
        <f t="shared" si="61"/>
        <v/>
      </c>
      <c r="U164" s="634" t="str">
        <f t="shared" si="62"/>
        <v/>
      </c>
      <c r="V164" s="635" t="str">
        <f t="shared" si="63"/>
        <v/>
      </c>
      <c r="W164" s="633" t="str">
        <f t="shared" si="64"/>
        <v/>
      </c>
      <c r="X164" s="632" t="str">
        <f t="shared" si="65"/>
        <v/>
      </c>
      <c r="Y164" s="634" t="str">
        <f t="shared" si="66"/>
        <v/>
      </c>
      <c r="Z164" s="635" t="str">
        <f t="shared" si="67"/>
        <v/>
      </c>
      <c r="AA164" s="633" t="str">
        <f t="shared" si="68"/>
        <v/>
      </c>
      <c r="AB164" s="632" t="str">
        <f t="shared" si="69"/>
        <v/>
      </c>
      <c r="AC164" s="634" t="str">
        <f t="shared" si="70"/>
        <v/>
      </c>
      <c r="AD164" s="635" t="str">
        <f t="shared" si="71"/>
        <v/>
      </c>
      <c r="AE164" s="633" t="str">
        <f t="shared" si="72"/>
        <v/>
      </c>
      <c r="AF164" s="632" t="str">
        <f t="shared" si="73"/>
        <v/>
      </c>
      <c r="AG164" s="634" t="str">
        <f t="shared" si="74"/>
        <v/>
      </c>
      <c r="AH164" s="635" t="str">
        <f t="shared" si="75"/>
        <v/>
      </c>
      <c r="AI164" s="633" t="str">
        <f t="shared" si="76"/>
        <v/>
      </c>
      <c r="AJ164" s="632" t="str">
        <f t="shared" si="77"/>
        <v/>
      </c>
      <c r="AK164" s="636" t="str">
        <f t="shared" si="78"/>
        <v/>
      </c>
      <c r="AL164" s="637" t="str">
        <f t="shared" si="79"/>
        <v/>
      </c>
      <c r="AM164" s="633" t="str">
        <f t="shared" si="80"/>
        <v/>
      </c>
      <c r="AN164" s="38"/>
    </row>
    <row r="165" spans="1:40" ht="13.2" x14ac:dyDescent="0.25">
      <c r="A165" s="26"/>
      <c r="B165" s="38"/>
      <c r="C165" s="261" t="s">
        <v>208</v>
      </c>
      <c r="D165" s="644" t="str">
        <f>IF('WK2 - Notional General Income'!C82="","",'WK2 - Notional General Income'!C82)</f>
        <v/>
      </c>
      <c r="E165" s="635" t="str">
        <f>IF('WK2 - Notional General Income'!L82="","",'WK2 - Notional General Income'!L82/'WK2 - Notional General Income'!D82)</f>
        <v/>
      </c>
      <c r="F165" s="635" t="str">
        <f>IF('WK3 - Notional GI Yr1 YIELD'!L79="","",'WK3 - Notional GI Yr1 YIELD'!L79/'WK3 - Notional GI Yr1 YIELD'!D79)</f>
        <v/>
      </c>
      <c r="G165" s="472"/>
      <c r="H165" s="472"/>
      <c r="I165" s="472"/>
      <c r="J165" s="472"/>
      <c r="K165" s="472"/>
      <c r="L165" s="472"/>
      <c r="M165" s="38"/>
      <c r="N165" s="632" t="str">
        <f t="shared" si="55"/>
        <v/>
      </c>
      <c r="O165" s="633" t="str">
        <f t="shared" si="56"/>
        <v/>
      </c>
      <c r="P165" s="632" t="str">
        <f t="shared" si="57"/>
        <v/>
      </c>
      <c r="Q165" s="634" t="str">
        <f t="shared" si="58"/>
        <v/>
      </c>
      <c r="R165" s="635" t="str">
        <f t="shared" si="59"/>
        <v/>
      </c>
      <c r="S165" s="633" t="str">
        <f t="shared" si="60"/>
        <v/>
      </c>
      <c r="T165" s="632" t="str">
        <f t="shared" si="61"/>
        <v/>
      </c>
      <c r="U165" s="634" t="str">
        <f t="shared" si="62"/>
        <v/>
      </c>
      <c r="V165" s="635" t="str">
        <f t="shared" si="63"/>
        <v/>
      </c>
      <c r="W165" s="633" t="str">
        <f t="shared" si="64"/>
        <v/>
      </c>
      <c r="X165" s="632" t="str">
        <f t="shared" si="65"/>
        <v/>
      </c>
      <c r="Y165" s="634" t="str">
        <f t="shared" si="66"/>
        <v/>
      </c>
      <c r="Z165" s="635" t="str">
        <f t="shared" si="67"/>
        <v/>
      </c>
      <c r="AA165" s="633" t="str">
        <f t="shared" si="68"/>
        <v/>
      </c>
      <c r="AB165" s="632" t="str">
        <f t="shared" si="69"/>
        <v/>
      </c>
      <c r="AC165" s="634" t="str">
        <f t="shared" si="70"/>
        <v/>
      </c>
      <c r="AD165" s="635" t="str">
        <f t="shared" si="71"/>
        <v/>
      </c>
      <c r="AE165" s="633" t="str">
        <f t="shared" si="72"/>
        <v/>
      </c>
      <c r="AF165" s="632" t="str">
        <f t="shared" si="73"/>
        <v/>
      </c>
      <c r="AG165" s="634" t="str">
        <f t="shared" si="74"/>
        <v/>
      </c>
      <c r="AH165" s="635" t="str">
        <f t="shared" si="75"/>
        <v/>
      </c>
      <c r="AI165" s="633" t="str">
        <f t="shared" si="76"/>
        <v/>
      </c>
      <c r="AJ165" s="632" t="str">
        <f t="shared" si="77"/>
        <v/>
      </c>
      <c r="AK165" s="636" t="str">
        <f t="shared" si="78"/>
        <v/>
      </c>
      <c r="AL165" s="637" t="str">
        <f t="shared" si="79"/>
        <v/>
      </c>
      <c r="AM165" s="633" t="str">
        <f t="shared" si="80"/>
        <v/>
      </c>
      <c r="AN165" s="38"/>
    </row>
    <row r="166" spans="1:40" ht="13.2" x14ac:dyDescent="0.25">
      <c r="A166" s="26"/>
      <c r="B166" s="38"/>
      <c r="C166" s="261" t="s">
        <v>208</v>
      </c>
      <c r="D166" s="644" t="str">
        <f>IF('WK2 - Notional General Income'!C83="","",'WK2 - Notional General Income'!C83)</f>
        <v/>
      </c>
      <c r="E166" s="635" t="str">
        <f>IF('WK2 - Notional General Income'!L83="","",'WK2 - Notional General Income'!L83/'WK2 - Notional General Income'!D83)</f>
        <v/>
      </c>
      <c r="F166" s="635" t="str">
        <f>IF('WK3 - Notional GI Yr1 YIELD'!L80="","",'WK3 - Notional GI Yr1 YIELD'!L80/'WK3 - Notional GI Yr1 YIELD'!D80)</f>
        <v/>
      </c>
      <c r="G166" s="472"/>
      <c r="H166" s="472"/>
      <c r="I166" s="472"/>
      <c r="J166" s="472"/>
      <c r="K166" s="472"/>
      <c r="L166" s="472"/>
      <c r="M166" s="38"/>
      <c r="N166" s="632" t="str">
        <f t="shared" si="55"/>
        <v/>
      </c>
      <c r="O166" s="633" t="str">
        <f t="shared" si="56"/>
        <v/>
      </c>
      <c r="P166" s="632" t="str">
        <f t="shared" si="57"/>
        <v/>
      </c>
      <c r="Q166" s="634" t="str">
        <f t="shared" si="58"/>
        <v/>
      </c>
      <c r="R166" s="635" t="str">
        <f t="shared" si="59"/>
        <v/>
      </c>
      <c r="S166" s="633" t="str">
        <f t="shared" si="60"/>
        <v/>
      </c>
      <c r="T166" s="632" t="str">
        <f t="shared" si="61"/>
        <v/>
      </c>
      <c r="U166" s="634" t="str">
        <f t="shared" si="62"/>
        <v/>
      </c>
      <c r="V166" s="635" t="str">
        <f t="shared" si="63"/>
        <v/>
      </c>
      <c r="W166" s="633" t="str">
        <f t="shared" si="64"/>
        <v/>
      </c>
      <c r="X166" s="632" t="str">
        <f t="shared" si="65"/>
        <v/>
      </c>
      <c r="Y166" s="634" t="str">
        <f t="shared" si="66"/>
        <v/>
      </c>
      <c r="Z166" s="635" t="str">
        <f t="shared" si="67"/>
        <v/>
      </c>
      <c r="AA166" s="633" t="str">
        <f t="shared" si="68"/>
        <v/>
      </c>
      <c r="AB166" s="632" t="str">
        <f t="shared" si="69"/>
        <v/>
      </c>
      <c r="AC166" s="634" t="str">
        <f t="shared" si="70"/>
        <v/>
      </c>
      <c r="AD166" s="635" t="str">
        <f t="shared" si="71"/>
        <v/>
      </c>
      <c r="AE166" s="633" t="str">
        <f t="shared" si="72"/>
        <v/>
      </c>
      <c r="AF166" s="632" t="str">
        <f t="shared" si="73"/>
        <v/>
      </c>
      <c r="AG166" s="634" t="str">
        <f t="shared" si="74"/>
        <v/>
      </c>
      <c r="AH166" s="635" t="str">
        <f t="shared" si="75"/>
        <v/>
      </c>
      <c r="AI166" s="633" t="str">
        <f t="shared" si="76"/>
        <v/>
      </c>
      <c r="AJ166" s="632" t="str">
        <f t="shared" si="77"/>
        <v/>
      </c>
      <c r="AK166" s="636" t="str">
        <f t="shared" si="78"/>
        <v/>
      </c>
      <c r="AL166" s="637" t="str">
        <f t="shared" si="79"/>
        <v/>
      </c>
      <c r="AM166" s="633" t="str">
        <f t="shared" si="80"/>
        <v/>
      </c>
      <c r="AN166" s="38"/>
    </row>
    <row r="167" spans="1:40" ht="13.2" x14ac:dyDescent="0.25">
      <c r="A167" s="26"/>
      <c r="B167" s="38"/>
      <c r="C167" s="261" t="s">
        <v>208</v>
      </c>
      <c r="D167" s="644" t="str">
        <f>IF('WK2 - Notional General Income'!C84="","",'WK2 - Notional General Income'!C84)</f>
        <v/>
      </c>
      <c r="E167" s="635" t="str">
        <f>IF('WK2 - Notional General Income'!L84="","",'WK2 - Notional General Income'!L84/'WK2 - Notional General Income'!D84)</f>
        <v/>
      </c>
      <c r="F167" s="635" t="str">
        <f>IF('WK3 - Notional GI Yr1 YIELD'!L81="","",'WK3 - Notional GI Yr1 YIELD'!L81/'WK3 - Notional GI Yr1 YIELD'!D81)</f>
        <v/>
      </c>
      <c r="G167" s="472"/>
      <c r="H167" s="472"/>
      <c r="I167" s="472"/>
      <c r="J167" s="472"/>
      <c r="K167" s="472"/>
      <c r="L167" s="472"/>
      <c r="M167" s="38"/>
      <c r="N167" s="632" t="str">
        <f t="shared" si="55"/>
        <v/>
      </c>
      <c r="O167" s="633" t="str">
        <f t="shared" si="56"/>
        <v/>
      </c>
      <c r="P167" s="632" t="str">
        <f t="shared" si="57"/>
        <v/>
      </c>
      <c r="Q167" s="634" t="str">
        <f t="shared" si="58"/>
        <v/>
      </c>
      <c r="R167" s="635" t="str">
        <f t="shared" si="59"/>
        <v/>
      </c>
      <c r="S167" s="633" t="str">
        <f t="shared" si="60"/>
        <v/>
      </c>
      <c r="T167" s="632" t="str">
        <f t="shared" si="61"/>
        <v/>
      </c>
      <c r="U167" s="634" t="str">
        <f t="shared" si="62"/>
        <v/>
      </c>
      <c r="V167" s="635" t="str">
        <f t="shared" si="63"/>
        <v/>
      </c>
      <c r="W167" s="633" t="str">
        <f t="shared" si="64"/>
        <v/>
      </c>
      <c r="X167" s="632" t="str">
        <f t="shared" si="65"/>
        <v/>
      </c>
      <c r="Y167" s="634" t="str">
        <f t="shared" si="66"/>
        <v/>
      </c>
      <c r="Z167" s="635" t="str">
        <f t="shared" si="67"/>
        <v/>
      </c>
      <c r="AA167" s="633" t="str">
        <f t="shared" si="68"/>
        <v/>
      </c>
      <c r="AB167" s="632" t="str">
        <f t="shared" si="69"/>
        <v/>
      </c>
      <c r="AC167" s="634" t="str">
        <f t="shared" si="70"/>
        <v/>
      </c>
      <c r="AD167" s="635" t="str">
        <f t="shared" si="71"/>
        <v/>
      </c>
      <c r="AE167" s="633" t="str">
        <f t="shared" si="72"/>
        <v/>
      </c>
      <c r="AF167" s="632" t="str">
        <f t="shared" si="73"/>
        <v/>
      </c>
      <c r="AG167" s="634" t="str">
        <f t="shared" si="74"/>
        <v/>
      </c>
      <c r="AH167" s="635" t="str">
        <f t="shared" si="75"/>
        <v/>
      </c>
      <c r="AI167" s="633" t="str">
        <f t="shared" si="76"/>
        <v/>
      </c>
      <c r="AJ167" s="632" t="str">
        <f t="shared" si="77"/>
        <v/>
      </c>
      <c r="AK167" s="636" t="str">
        <f t="shared" si="78"/>
        <v/>
      </c>
      <c r="AL167" s="637" t="str">
        <f t="shared" si="79"/>
        <v/>
      </c>
      <c r="AM167" s="633" t="str">
        <f t="shared" si="80"/>
        <v/>
      </c>
      <c r="AN167" s="38"/>
    </row>
    <row r="168" spans="1:40" ht="13.2" x14ac:dyDescent="0.25">
      <c r="A168" s="26"/>
      <c r="B168" s="38"/>
      <c r="C168" s="261" t="s">
        <v>441</v>
      </c>
      <c r="D168" s="644" t="str">
        <f>IF('WK2 - Notional General Income'!C135="","",'WK2 - Notional General Income'!C135)</f>
        <v/>
      </c>
      <c r="E168" s="635" t="str">
        <f>IF('WK2 - Notional General Income'!L135="","",'WK2 - Notional General Income'!L135/'WK2 - Notional General Income'!D135)</f>
        <v/>
      </c>
      <c r="F168" s="635" t="str">
        <f>IF('WK3 - Notional GI Yr1 YIELD'!L132="","",'WK3 - Notional GI Yr1 YIELD'!L132/'WK3 - Notional GI Yr1 YIELD'!D132)</f>
        <v/>
      </c>
      <c r="G168" s="472"/>
      <c r="H168" s="472"/>
      <c r="I168" s="472"/>
      <c r="J168" s="472"/>
      <c r="K168" s="472"/>
      <c r="L168" s="472"/>
      <c r="M168" s="38"/>
      <c r="N168" s="632" t="str">
        <f t="shared" si="55"/>
        <v/>
      </c>
      <c r="O168" s="633" t="str">
        <f t="shared" si="56"/>
        <v/>
      </c>
      <c r="P168" s="632" t="str">
        <f t="shared" si="57"/>
        <v/>
      </c>
      <c r="Q168" s="634" t="str">
        <f t="shared" si="58"/>
        <v/>
      </c>
      <c r="R168" s="635" t="str">
        <f t="shared" si="59"/>
        <v/>
      </c>
      <c r="S168" s="633" t="str">
        <f t="shared" si="60"/>
        <v/>
      </c>
      <c r="T168" s="632" t="str">
        <f t="shared" si="61"/>
        <v/>
      </c>
      <c r="U168" s="634" t="str">
        <f t="shared" si="62"/>
        <v/>
      </c>
      <c r="V168" s="635" t="str">
        <f t="shared" si="63"/>
        <v/>
      </c>
      <c r="W168" s="633" t="str">
        <f t="shared" si="64"/>
        <v/>
      </c>
      <c r="X168" s="632" t="str">
        <f t="shared" si="65"/>
        <v/>
      </c>
      <c r="Y168" s="634" t="str">
        <f t="shared" si="66"/>
        <v/>
      </c>
      <c r="Z168" s="635" t="str">
        <f t="shared" si="67"/>
        <v/>
      </c>
      <c r="AA168" s="633" t="str">
        <f t="shared" si="68"/>
        <v/>
      </c>
      <c r="AB168" s="632" t="str">
        <f t="shared" si="69"/>
        <v/>
      </c>
      <c r="AC168" s="634" t="str">
        <f t="shared" si="70"/>
        <v/>
      </c>
      <c r="AD168" s="635" t="str">
        <f t="shared" si="71"/>
        <v/>
      </c>
      <c r="AE168" s="633" t="str">
        <f t="shared" si="72"/>
        <v/>
      </c>
      <c r="AF168" s="632" t="str">
        <f t="shared" si="73"/>
        <v/>
      </c>
      <c r="AG168" s="634" t="str">
        <f t="shared" si="74"/>
        <v/>
      </c>
      <c r="AH168" s="635" t="str">
        <f t="shared" si="75"/>
        <v/>
      </c>
      <c r="AI168" s="633" t="str">
        <f t="shared" si="76"/>
        <v/>
      </c>
      <c r="AJ168" s="632" t="str">
        <f t="shared" si="77"/>
        <v/>
      </c>
      <c r="AK168" s="636" t="str">
        <f t="shared" si="78"/>
        <v/>
      </c>
      <c r="AL168" s="637" t="str">
        <f t="shared" si="79"/>
        <v/>
      </c>
      <c r="AM168" s="633" t="str">
        <f t="shared" si="80"/>
        <v/>
      </c>
      <c r="AN168" s="38"/>
    </row>
    <row r="169" spans="1:40" ht="13.2" x14ac:dyDescent="0.25">
      <c r="A169" s="26"/>
      <c r="B169" s="38"/>
      <c r="C169" s="261" t="s">
        <v>441</v>
      </c>
      <c r="D169" s="644" t="str">
        <f>IF('WK2 - Notional General Income'!C136="","",'WK2 - Notional General Income'!C136)</f>
        <v/>
      </c>
      <c r="E169" s="635" t="str">
        <f>IF('WK2 - Notional General Income'!L136="","",'WK2 - Notional General Income'!L136/'WK2 - Notional General Income'!D136)</f>
        <v/>
      </c>
      <c r="F169" s="635" t="str">
        <f>IF('WK3 - Notional GI Yr1 YIELD'!L133="","",'WK3 - Notional GI Yr1 YIELD'!L133/'WK3 - Notional GI Yr1 YIELD'!D133)</f>
        <v/>
      </c>
      <c r="G169" s="472"/>
      <c r="H169" s="472"/>
      <c r="I169" s="472"/>
      <c r="J169" s="472"/>
      <c r="K169" s="472"/>
      <c r="L169" s="472"/>
      <c r="M169" s="38"/>
      <c r="N169" s="632" t="str">
        <f t="shared" si="55"/>
        <v/>
      </c>
      <c r="O169" s="633" t="str">
        <f t="shared" si="56"/>
        <v/>
      </c>
      <c r="P169" s="632" t="str">
        <f t="shared" si="57"/>
        <v/>
      </c>
      <c r="Q169" s="634" t="str">
        <f t="shared" si="58"/>
        <v/>
      </c>
      <c r="R169" s="635" t="str">
        <f t="shared" si="59"/>
        <v/>
      </c>
      <c r="S169" s="633" t="str">
        <f t="shared" si="60"/>
        <v/>
      </c>
      <c r="T169" s="632" t="str">
        <f t="shared" si="61"/>
        <v/>
      </c>
      <c r="U169" s="634" t="str">
        <f t="shared" si="62"/>
        <v/>
      </c>
      <c r="V169" s="635" t="str">
        <f t="shared" si="63"/>
        <v/>
      </c>
      <c r="W169" s="633" t="str">
        <f t="shared" si="64"/>
        <v/>
      </c>
      <c r="X169" s="632" t="str">
        <f t="shared" si="65"/>
        <v/>
      </c>
      <c r="Y169" s="634" t="str">
        <f t="shared" si="66"/>
        <v/>
      </c>
      <c r="Z169" s="635" t="str">
        <f t="shared" si="67"/>
        <v/>
      </c>
      <c r="AA169" s="633" t="str">
        <f t="shared" si="68"/>
        <v/>
      </c>
      <c r="AB169" s="632" t="str">
        <f t="shared" si="69"/>
        <v/>
      </c>
      <c r="AC169" s="634" t="str">
        <f t="shared" si="70"/>
        <v/>
      </c>
      <c r="AD169" s="635" t="str">
        <f t="shared" si="71"/>
        <v/>
      </c>
      <c r="AE169" s="633" t="str">
        <f t="shared" si="72"/>
        <v/>
      </c>
      <c r="AF169" s="632" t="str">
        <f t="shared" si="73"/>
        <v/>
      </c>
      <c r="AG169" s="634" t="str">
        <f t="shared" si="74"/>
        <v/>
      </c>
      <c r="AH169" s="635" t="str">
        <f t="shared" si="75"/>
        <v/>
      </c>
      <c r="AI169" s="633" t="str">
        <f t="shared" si="76"/>
        <v/>
      </c>
      <c r="AJ169" s="632" t="str">
        <f t="shared" si="77"/>
        <v/>
      </c>
      <c r="AK169" s="636" t="str">
        <f t="shared" si="78"/>
        <v/>
      </c>
      <c r="AL169" s="637" t="str">
        <f t="shared" si="79"/>
        <v/>
      </c>
      <c r="AM169" s="633" t="str">
        <f t="shared" si="80"/>
        <v/>
      </c>
      <c r="AN169" s="38"/>
    </row>
    <row r="170" spans="1:40" ht="13.2" x14ac:dyDescent="0.25">
      <c r="A170" s="26"/>
      <c r="B170" s="38"/>
      <c r="C170" s="261" t="s">
        <v>441</v>
      </c>
      <c r="D170" s="644" t="str">
        <f>IF('WK2 - Notional General Income'!C137="","",'WK2 - Notional General Income'!C137)</f>
        <v/>
      </c>
      <c r="E170" s="635" t="str">
        <f>IF('WK2 - Notional General Income'!L137="","",'WK2 - Notional General Income'!L137/'WK2 - Notional General Income'!D137)</f>
        <v/>
      </c>
      <c r="F170" s="635" t="str">
        <f>IF('WK3 - Notional GI Yr1 YIELD'!L134="","",'WK3 - Notional GI Yr1 YIELD'!L134/'WK3 - Notional GI Yr1 YIELD'!D134)</f>
        <v/>
      </c>
      <c r="G170" s="472"/>
      <c r="H170" s="472"/>
      <c r="I170" s="472"/>
      <c r="J170" s="472"/>
      <c r="K170" s="472"/>
      <c r="L170" s="472"/>
      <c r="M170" s="38"/>
      <c r="N170" s="632" t="str">
        <f t="shared" si="55"/>
        <v/>
      </c>
      <c r="O170" s="633" t="str">
        <f t="shared" si="56"/>
        <v/>
      </c>
      <c r="P170" s="632" t="str">
        <f t="shared" si="57"/>
        <v/>
      </c>
      <c r="Q170" s="634" t="str">
        <f t="shared" si="58"/>
        <v/>
      </c>
      <c r="R170" s="635" t="str">
        <f t="shared" si="59"/>
        <v/>
      </c>
      <c r="S170" s="633" t="str">
        <f t="shared" si="60"/>
        <v/>
      </c>
      <c r="T170" s="632" t="str">
        <f t="shared" si="61"/>
        <v/>
      </c>
      <c r="U170" s="634" t="str">
        <f t="shared" si="62"/>
        <v/>
      </c>
      <c r="V170" s="635" t="str">
        <f t="shared" si="63"/>
        <v/>
      </c>
      <c r="W170" s="633" t="str">
        <f t="shared" si="64"/>
        <v/>
      </c>
      <c r="X170" s="632" t="str">
        <f t="shared" si="65"/>
        <v/>
      </c>
      <c r="Y170" s="634" t="str">
        <f t="shared" si="66"/>
        <v/>
      </c>
      <c r="Z170" s="635" t="str">
        <f t="shared" si="67"/>
        <v/>
      </c>
      <c r="AA170" s="633" t="str">
        <f t="shared" si="68"/>
        <v/>
      </c>
      <c r="AB170" s="632" t="str">
        <f t="shared" si="69"/>
        <v/>
      </c>
      <c r="AC170" s="634" t="str">
        <f t="shared" si="70"/>
        <v/>
      </c>
      <c r="AD170" s="635" t="str">
        <f t="shared" si="71"/>
        <v/>
      </c>
      <c r="AE170" s="633" t="str">
        <f t="shared" si="72"/>
        <v/>
      </c>
      <c r="AF170" s="632" t="str">
        <f t="shared" si="73"/>
        <v/>
      </c>
      <c r="AG170" s="634" t="str">
        <f t="shared" si="74"/>
        <v/>
      </c>
      <c r="AH170" s="635" t="str">
        <f t="shared" si="75"/>
        <v/>
      </c>
      <c r="AI170" s="633" t="str">
        <f t="shared" si="76"/>
        <v/>
      </c>
      <c r="AJ170" s="632" t="str">
        <f t="shared" si="77"/>
        <v/>
      </c>
      <c r="AK170" s="636" t="str">
        <f t="shared" si="78"/>
        <v/>
      </c>
      <c r="AL170" s="637" t="str">
        <f t="shared" si="79"/>
        <v/>
      </c>
      <c r="AM170" s="633" t="str">
        <f t="shared" si="80"/>
        <v/>
      </c>
      <c r="AN170" s="38"/>
    </row>
    <row r="171" spans="1:40" ht="13.2" x14ac:dyDescent="0.25">
      <c r="A171" s="26"/>
      <c r="B171" s="38"/>
      <c r="C171" s="261" t="s">
        <v>441</v>
      </c>
      <c r="D171" s="644" t="str">
        <f>IF('WK2 - Notional General Income'!C138="","",'WK2 - Notional General Income'!C138)</f>
        <v/>
      </c>
      <c r="E171" s="635" t="str">
        <f>IF('WK2 - Notional General Income'!L138="","",'WK2 - Notional General Income'!L138/'WK2 - Notional General Income'!D138)</f>
        <v/>
      </c>
      <c r="F171" s="635" t="str">
        <f>IF('WK3 - Notional GI Yr1 YIELD'!L135="","",'WK3 - Notional GI Yr1 YIELD'!L135/'WK3 - Notional GI Yr1 YIELD'!D135)</f>
        <v/>
      </c>
      <c r="G171" s="472"/>
      <c r="H171" s="472"/>
      <c r="I171" s="472"/>
      <c r="J171" s="472"/>
      <c r="K171" s="472"/>
      <c r="L171" s="472"/>
      <c r="M171" s="38"/>
      <c r="N171" s="632" t="str">
        <f t="shared" si="55"/>
        <v/>
      </c>
      <c r="O171" s="633" t="str">
        <f t="shared" si="56"/>
        <v/>
      </c>
      <c r="P171" s="632" t="str">
        <f t="shared" si="57"/>
        <v/>
      </c>
      <c r="Q171" s="634" t="str">
        <f t="shared" si="58"/>
        <v/>
      </c>
      <c r="R171" s="635" t="str">
        <f t="shared" si="59"/>
        <v/>
      </c>
      <c r="S171" s="633" t="str">
        <f t="shared" si="60"/>
        <v/>
      </c>
      <c r="T171" s="632" t="str">
        <f t="shared" si="61"/>
        <v/>
      </c>
      <c r="U171" s="634" t="str">
        <f t="shared" si="62"/>
        <v/>
      </c>
      <c r="V171" s="635" t="str">
        <f t="shared" si="63"/>
        <v/>
      </c>
      <c r="W171" s="633" t="str">
        <f t="shared" si="64"/>
        <v/>
      </c>
      <c r="X171" s="632" t="str">
        <f t="shared" si="65"/>
        <v/>
      </c>
      <c r="Y171" s="634" t="str">
        <f t="shared" si="66"/>
        <v/>
      </c>
      <c r="Z171" s="635" t="str">
        <f t="shared" si="67"/>
        <v/>
      </c>
      <c r="AA171" s="633" t="str">
        <f t="shared" si="68"/>
        <v/>
      </c>
      <c r="AB171" s="632" t="str">
        <f t="shared" si="69"/>
        <v/>
      </c>
      <c r="AC171" s="634" t="str">
        <f t="shared" si="70"/>
        <v/>
      </c>
      <c r="AD171" s="635" t="str">
        <f t="shared" si="71"/>
        <v/>
      </c>
      <c r="AE171" s="633" t="str">
        <f t="shared" si="72"/>
        <v/>
      </c>
      <c r="AF171" s="632" t="str">
        <f t="shared" si="73"/>
        <v/>
      </c>
      <c r="AG171" s="634" t="str">
        <f t="shared" si="74"/>
        <v/>
      </c>
      <c r="AH171" s="635" t="str">
        <f t="shared" si="75"/>
        <v/>
      </c>
      <c r="AI171" s="633" t="str">
        <f t="shared" si="76"/>
        <v/>
      </c>
      <c r="AJ171" s="632" t="str">
        <f t="shared" si="77"/>
        <v/>
      </c>
      <c r="AK171" s="636" t="str">
        <f t="shared" si="78"/>
        <v/>
      </c>
      <c r="AL171" s="637" t="str">
        <f t="shared" si="79"/>
        <v/>
      </c>
      <c r="AM171" s="633" t="str">
        <f t="shared" si="80"/>
        <v/>
      </c>
      <c r="AN171" s="38"/>
    </row>
    <row r="172" spans="1:40" ht="13.2" x14ac:dyDescent="0.25">
      <c r="A172" s="26"/>
      <c r="B172" s="38"/>
      <c r="C172" s="261" t="s">
        <v>441</v>
      </c>
      <c r="D172" s="644" t="str">
        <f>IF('WK2 - Notional General Income'!C139="","",'WK2 - Notional General Income'!C139)</f>
        <v/>
      </c>
      <c r="E172" s="635" t="str">
        <f>IF('WK2 - Notional General Income'!L139="","",'WK2 - Notional General Income'!L139/'WK2 - Notional General Income'!D139)</f>
        <v/>
      </c>
      <c r="F172" s="635" t="str">
        <f>IF('WK3 - Notional GI Yr1 YIELD'!L136="","",'WK3 - Notional GI Yr1 YIELD'!L136/'WK3 - Notional GI Yr1 YIELD'!D136)</f>
        <v/>
      </c>
      <c r="G172" s="472"/>
      <c r="H172" s="472"/>
      <c r="I172" s="472"/>
      <c r="J172" s="472"/>
      <c r="K172" s="472"/>
      <c r="L172" s="472"/>
      <c r="M172" s="38"/>
      <c r="N172" s="632" t="str">
        <f t="shared" si="55"/>
        <v/>
      </c>
      <c r="O172" s="633" t="str">
        <f t="shared" si="56"/>
        <v/>
      </c>
      <c r="P172" s="632" t="str">
        <f t="shared" si="57"/>
        <v/>
      </c>
      <c r="Q172" s="634" t="str">
        <f t="shared" si="58"/>
        <v/>
      </c>
      <c r="R172" s="635" t="str">
        <f t="shared" si="59"/>
        <v/>
      </c>
      <c r="S172" s="633" t="str">
        <f t="shared" si="60"/>
        <v/>
      </c>
      <c r="T172" s="632" t="str">
        <f t="shared" si="61"/>
        <v/>
      </c>
      <c r="U172" s="634" t="str">
        <f t="shared" si="62"/>
        <v/>
      </c>
      <c r="V172" s="635" t="str">
        <f t="shared" si="63"/>
        <v/>
      </c>
      <c r="W172" s="633" t="str">
        <f t="shared" si="64"/>
        <v/>
      </c>
      <c r="X172" s="632" t="str">
        <f t="shared" si="65"/>
        <v/>
      </c>
      <c r="Y172" s="634" t="str">
        <f t="shared" si="66"/>
        <v/>
      </c>
      <c r="Z172" s="635" t="str">
        <f t="shared" si="67"/>
        <v/>
      </c>
      <c r="AA172" s="633" t="str">
        <f t="shared" si="68"/>
        <v/>
      </c>
      <c r="AB172" s="632" t="str">
        <f t="shared" si="69"/>
        <v/>
      </c>
      <c r="AC172" s="634" t="str">
        <f t="shared" si="70"/>
        <v/>
      </c>
      <c r="AD172" s="635" t="str">
        <f t="shared" si="71"/>
        <v/>
      </c>
      <c r="AE172" s="633" t="str">
        <f t="shared" si="72"/>
        <v/>
      </c>
      <c r="AF172" s="632" t="str">
        <f t="shared" si="73"/>
        <v/>
      </c>
      <c r="AG172" s="634" t="str">
        <f t="shared" si="74"/>
        <v/>
      </c>
      <c r="AH172" s="635" t="str">
        <f t="shared" si="75"/>
        <v/>
      </c>
      <c r="AI172" s="633" t="str">
        <f t="shared" si="76"/>
        <v/>
      </c>
      <c r="AJ172" s="632" t="str">
        <f t="shared" si="77"/>
        <v/>
      </c>
      <c r="AK172" s="636" t="str">
        <f t="shared" si="78"/>
        <v/>
      </c>
      <c r="AL172" s="637" t="str">
        <f t="shared" si="79"/>
        <v/>
      </c>
      <c r="AM172" s="633" t="str">
        <f t="shared" si="80"/>
        <v/>
      </c>
      <c r="AN172" s="38"/>
    </row>
    <row r="173" spans="1:40" ht="13.2" x14ac:dyDescent="0.25">
      <c r="A173" s="26"/>
      <c r="B173" s="38"/>
      <c r="C173" s="261" t="s">
        <v>441</v>
      </c>
      <c r="D173" s="644" t="str">
        <f>IF('WK2 - Notional General Income'!C140="","",'WK2 - Notional General Income'!C140)</f>
        <v/>
      </c>
      <c r="E173" s="635" t="str">
        <f>IF('WK2 - Notional General Income'!L140="","",'WK2 - Notional General Income'!L140/'WK2 - Notional General Income'!D140)</f>
        <v/>
      </c>
      <c r="F173" s="635" t="str">
        <f>IF('WK3 - Notional GI Yr1 YIELD'!L137="","",'WK3 - Notional GI Yr1 YIELD'!L137/'WK3 - Notional GI Yr1 YIELD'!D137)</f>
        <v/>
      </c>
      <c r="G173" s="472"/>
      <c r="H173" s="472"/>
      <c r="I173" s="472"/>
      <c r="J173" s="472"/>
      <c r="K173" s="472"/>
      <c r="L173" s="472"/>
      <c r="M173" s="38"/>
      <c r="N173" s="632" t="str">
        <f t="shared" si="55"/>
        <v/>
      </c>
      <c r="O173" s="633" t="str">
        <f t="shared" si="56"/>
        <v/>
      </c>
      <c r="P173" s="632" t="str">
        <f t="shared" si="57"/>
        <v/>
      </c>
      <c r="Q173" s="634" t="str">
        <f t="shared" si="58"/>
        <v/>
      </c>
      <c r="R173" s="635" t="str">
        <f t="shared" si="59"/>
        <v/>
      </c>
      <c r="S173" s="633" t="str">
        <f t="shared" si="60"/>
        <v/>
      </c>
      <c r="T173" s="632" t="str">
        <f t="shared" si="61"/>
        <v/>
      </c>
      <c r="U173" s="634" t="str">
        <f t="shared" si="62"/>
        <v/>
      </c>
      <c r="V173" s="635" t="str">
        <f t="shared" si="63"/>
        <v/>
      </c>
      <c r="W173" s="633" t="str">
        <f t="shared" si="64"/>
        <v/>
      </c>
      <c r="X173" s="632" t="str">
        <f t="shared" si="65"/>
        <v/>
      </c>
      <c r="Y173" s="634" t="str">
        <f t="shared" si="66"/>
        <v/>
      </c>
      <c r="Z173" s="635" t="str">
        <f t="shared" si="67"/>
        <v/>
      </c>
      <c r="AA173" s="633" t="str">
        <f t="shared" si="68"/>
        <v/>
      </c>
      <c r="AB173" s="632" t="str">
        <f t="shared" si="69"/>
        <v/>
      </c>
      <c r="AC173" s="634" t="str">
        <f t="shared" si="70"/>
        <v/>
      </c>
      <c r="AD173" s="635" t="str">
        <f t="shared" si="71"/>
        <v/>
      </c>
      <c r="AE173" s="633" t="str">
        <f t="shared" si="72"/>
        <v/>
      </c>
      <c r="AF173" s="632" t="str">
        <f t="shared" si="73"/>
        <v/>
      </c>
      <c r="AG173" s="634" t="str">
        <f t="shared" si="74"/>
        <v/>
      </c>
      <c r="AH173" s="635" t="str">
        <f t="shared" si="75"/>
        <v/>
      </c>
      <c r="AI173" s="633" t="str">
        <f t="shared" si="76"/>
        <v/>
      </c>
      <c r="AJ173" s="632" t="str">
        <f t="shared" si="77"/>
        <v/>
      </c>
      <c r="AK173" s="636" t="str">
        <f t="shared" si="78"/>
        <v/>
      </c>
      <c r="AL173" s="637" t="str">
        <f t="shared" si="79"/>
        <v/>
      </c>
      <c r="AM173" s="633" t="str">
        <f t="shared" si="80"/>
        <v/>
      </c>
      <c r="AN173" s="38"/>
    </row>
    <row r="174" spans="1:40" ht="13.2" x14ac:dyDescent="0.25">
      <c r="A174" s="26"/>
      <c r="B174" s="38"/>
      <c r="C174" s="261" t="s">
        <v>441</v>
      </c>
      <c r="D174" s="644" t="str">
        <f>IF('WK2 - Notional General Income'!C141="","",'WK2 - Notional General Income'!C141)</f>
        <v/>
      </c>
      <c r="E174" s="635" t="str">
        <f>IF('WK2 - Notional General Income'!L141="","",'WK2 - Notional General Income'!L141/'WK2 - Notional General Income'!D141)</f>
        <v/>
      </c>
      <c r="F174" s="635" t="str">
        <f>IF('WK3 - Notional GI Yr1 YIELD'!L138="","",'WK3 - Notional GI Yr1 YIELD'!L138/'WK3 - Notional GI Yr1 YIELD'!D138)</f>
        <v/>
      </c>
      <c r="G174" s="472"/>
      <c r="H174" s="472"/>
      <c r="I174" s="472"/>
      <c r="J174" s="472"/>
      <c r="K174" s="472"/>
      <c r="L174" s="472"/>
      <c r="M174" s="38"/>
      <c r="N174" s="632" t="str">
        <f t="shared" si="55"/>
        <v/>
      </c>
      <c r="O174" s="633" t="str">
        <f t="shared" si="56"/>
        <v/>
      </c>
      <c r="P174" s="632" t="str">
        <f t="shared" si="57"/>
        <v/>
      </c>
      <c r="Q174" s="634" t="str">
        <f t="shared" si="58"/>
        <v/>
      </c>
      <c r="R174" s="635" t="str">
        <f t="shared" si="59"/>
        <v/>
      </c>
      <c r="S174" s="633" t="str">
        <f t="shared" si="60"/>
        <v/>
      </c>
      <c r="T174" s="632" t="str">
        <f t="shared" si="61"/>
        <v/>
      </c>
      <c r="U174" s="634" t="str">
        <f t="shared" si="62"/>
        <v/>
      </c>
      <c r="V174" s="635" t="str">
        <f t="shared" si="63"/>
        <v/>
      </c>
      <c r="W174" s="633" t="str">
        <f t="shared" si="64"/>
        <v/>
      </c>
      <c r="X174" s="632" t="str">
        <f t="shared" si="65"/>
        <v/>
      </c>
      <c r="Y174" s="634" t="str">
        <f t="shared" si="66"/>
        <v/>
      </c>
      <c r="Z174" s="635" t="str">
        <f t="shared" si="67"/>
        <v/>
      </c>
      <c r="AA174" s="633" t="str">
        <f t="shared" si="68"/>
        <v/>
      </c>
      <c r="AB174" s="632" t="str">
        <f t="shared" si="69"/>
        <v/>
      </c>
      <c r="AC174" s="634" t="str">
        <f t="shared" si="70"/>
        <v/>
      </c>
      <c r="AD174" s="635" t="str">
        <f t="shared" si="71"/>
        <v/>
      </c>
      <c r="AE174" s="633" t="str">
        <f t="shared" si="72"/>
        <v/>
      </c>
      <c r="AF174" s="632" t="str">
        <f t="shared" si="73"/>
        <v/>
      </c>
      <c r="AG174" s="634" t="str">
        <f t="shared" si="74"/>
        <v/>
      </c>
      <c r="AH174" s="635" t="str">
        <f t="shared" si="75"/>
        <v/>
      </c>
      <c r="AI174" s="633" t="str">
        <f t="shared" si="76"/>
        <v/>
      </c>
      <c r="AJ174" s="632" t="str">
        <f t="shared" si="77"/>
        <v/>
      </c>
      <c r="AK174" s="636" t="str">
        <f t="shared" si="78"/>
        <v/>
      </c>
      <c r="AL174" s="637" t="str">
        <f t="shared" si="79"/>
        <v/>
      </c>
      <c r="AM174" s="633" t="str">
        <f t="shared" si="80"/>
        <v/>
      </c>
      <c r="AN174" s="38"/>
    </row>
    <row r="175" spans="1:40" ht="13.2" x14ac:dyDescent="0.25">
      <c r="A175" s="26"/>
      <c r="B175" s="38"/>
      <c r="C175" s="261" t="s">
        <v>441</v>
      </c>
      <c r="D175" s="644" t="str">
        <f>IF('WK2 - Notional General Income'!C142="","",'WK2 - Notional General Income'!C142)</f>
        <v/>
      </c>
      <c r="E175" s="635" t="str">
        <f>IF('WK2 - Notional General Income'!L142="","",'WK2 - Notional General Income'!L142/'WK2 - Notional General Income'!D142)</f>
        <v/>
      </c>
      <c r="F175" s="635" t="str">
        <f>IF('WK3 - Notional GI Yr1 YIELD'!L139="","",'WK3 - Notional GI Yr1 YIELD'!L139/'WK3 - Notional GI Yr1 YIELD'!D139)</f>
        <v/>
      </c>
      <c r="G175" s="472"/>
      <c r="H175" s="472"/>
      <c r="I175" s="472"/>
      <c r="J175" s="472"/>
      <c r="K175" s="472"/>
      <c r="L175" s="472"/>
      <c r="M175" s="38"/>
      <c r="N175" s="632" t="str">
        <f t="shared" si="55"/>
        <v/>
      </c>
      <c r="O175" s="633" t="str">
        <f t="shared" si="56"/>
        <v/>
      </c>
      <c r="P175" s="632" t="str">
        <f t="shared" si="57"/>
        <v/>
      </c>
      <c r="Q175" s="634" t="str">
        <f t="shared" si="58"/>
        <v/>
      </c>
      <c r="R175" s="635" t="str">
        <f t="shared" si="59"/>
        <v/>
      </c>
      <c r="S175" s="633" t="str">
        <f t="shared" si="60"/>
        <v/>
      </c>
      <c r="T175" s="632" t="str">
        <f t="shared" si="61"/>
        <v/>
      </c>
      <c r="U175" s="634" t="str">
        <f t="shared" si="62"/>
        <v/>
      </c>
      <c r="V175" s="635" t="str">
        <f t="shared" si="63"/>
        <v/>
      </c>
      <c r="W175" s="633" t="str">
        <f t="shared" si="64"/>
        <v/>
      </c>
      <c r="X175" s="632" t="str">
        <f t="shared" si="65"/>
        <v/>
      </c>
      <c r="Y175" s="634" t="str">
        <f t="shared" si="66"/>
        <v/>
      </c>
      <c r="Z175" s="635" t="str">
        <f t="shared" si="67"/>
        <v/>
      </c>
      <c r="AA175" s="633" t="str">
        <f t="shared" si="68"/>
        <v/>
      </c>
      <c r="AB175" s="632" t="str">
        <f t="shared" si="69"/>
        <v/>
      </c>
      <c r="AC175" s="634" t="str">
        <f t="shared" si="70"/>
        <v/>
      </c>
      <c r="AD175" s="635" t="str">
        <f t="shared" si="71"/>
        <v/>
      </c>
      <c r="AE175" s="633" t="str">
        <f t="shared" si="72"/>
        <v/>
      </c>
      <c r="AF175" s="632" t="str">
        <f t="shared" si="73"/>
        <v/>
      </c>
      <c r="AG175" s="634" t="str">
        <f t="shared" si="74"/>
        <v/>
      </c>
      <c r="AH175" s="635" t="str">
        <f t="shared" si="75"/>
        <v/>
      </c>
      <c r="AI175" s="633" t="str">
        <f t="shared" si="76"/>
        <v/>
      </c>
      <c r="AJ175" s="632" t="str">
        <f t="shared" si="77"/>
        <v/>
      </c>
      <c r="AK175" s="636" t="str">
        <f t="shared" si="78"/>
        <v/>
      </c>
      <c r="AL175" s="637" t="str">
        <f t="shared" si="79"/>
        <v/>
      </c>
      <c r="AM175" s="633" t="str">
        <f t="shared" si="80"/>
        <v/>
      </c>
      <c r="AN175" s="38"/>
    </row>
    <row r="176" spans="1:40" ht="13.2" x14ac:dyDescent="0.25">
      <c r="A176" s="26"/>
      <c r="B176" s="38"/>
      <c r="C176" s="261" t="s">
        <v>441</v>
      </c>
      <c r="D176" s="644" t="str">
        <f>IF('WK2 - Notional General Income'!C143="","",'WK2 - Notional General Income'!C143)</f>
        <v/>
      </c>
      <c r="E176" s="635" t="str">
        <f>IF('WK2 - Notional General Income'!L143="","",'WK2 - Notional General Income'!L143/'WK2 - Notional General Income'!D143)</f>
        <v/>
      </c>
      <c r="F176" s="635" t="str">
        <f>IF('WK3 - Notional GI Yr1 YIELD'!L140="","",'WK3 - Notional GI Yr1 YIELD'!L140/'WK3 - Notional GI Yr1 YIELD'!D140)</f>
        <v/>
      </c>
      <c r="G176" s="472"/>
      <c r="H176" s="472"/>
      <c r="I176" s="472"/>
      <c r="J176" s="472"/>
      <c r="K176" s="472"/>
      <c r="L176" s="472"/>
      <c r="M176" s="38"/>
      <c r="N176" s="632" t="str">
        <f t="shared" si="55"/>
        <v/>
      </c>
      <c r="O176" s="633" t="str">
        <f t="shared" si="56"/>
        <v/>
      </c>
      <c r="P176" s="632" t="str">
        <f t="shared" si="57"/>
        <v/>
      </c>
      <c r="Q176" s="634" t="str">
        <f t="shared" si="58"/>
        <v/>
      </c>
      <c r="R176" s="635" t="str">
        <f t="shared" si="59"/>
        <v/>
      </c>
      <c r="S176" s="633" t="str">
        <f t="shared" si="60"/>
        <v/>
      </c>
      <c r="T176" s="632" t="str">
        <f t="shared" si="61"/>
        <v/>
      </c>
      <c r="U176" s="634" t="str">
        <f t="shared" si="62"/>
        <v/>
      </c>
      <c r="V176" s="635" t="str">
        <f t="shared" si="63"/>
        <v/>
      </c>
      <c r="W176" s="633" t="str">
        <f t="shared" si="64"/>
        <v/>
      </c>
      <c r="X176" s="632" t="str">
        <f t="shared" si="65"/>
        <v/>
      </c>
      <c r="Y176" s="634" t="str">
        <f t="shared" si="66"/>
        <v/>
      </c>
      <c r="Z176" s="635" t="str">
        <f t="shared" si="67"/>
        <v/>
      </c>
      <c r="AA176" s="633" t="str">
        <f t="shared" si="68"/>
        <v/>
      </c>
      <c r="AB176" s="632" t="str">
        <f t="shared" si="69"/>
        <v/>
      </c>
      <c r="AC176" s="634" t="str">
        <f t="shared" si="70"/>
        <v/>
      </c>
      <c r="AD176" s="635" t="str">
        <f t="shared" si="71"/>
        <v/>
      </c>
      <c r="AE176" s="633" t="str">
        <f t="shared" si="72"/>
        <v/>
      </c>
      <c r="AF176" s="632" t="str">
        <f t="shared" si="73"/>
        <v/>
      </c>
      <c r="AG176" s="634" t="str">
        <f t="shared" si="74"/>
        <v/>
      </c>
      <c r="AH176" s="635" t="str">
        <f t="shared" si="75"/>
        <v/>
      </c>
      <c r="AI176" s="633" t="str">
        <f t="shared" si="76"/>
        <v/>
      </c>
      <c r="AJ176" s="632" t="str">
        <f t="shared" si="77"/>
        <v/>
      </c>
      <c r="AK176" s="636" t="str">
        <f t="shared" si="78"/>
        <v/>
      </c>
      <c r="AL176" s="637" t="str">
        <f t="shared" si="79"/>
        <v/>
      </c>
      <c r="AM176" s="633" t="str">
        <f t="shared" si="80"/>
        <v/>
      </c>
      <c r="AN176" s="38"/>
    </row>
    <row r="177" spans="1:40" ht="13.2" x14ac:dyDescent="0.25">
      <c r="A177" s="26"/>
      <c r="B177" s="38"/>
      <c r="C177" s="261" t="s">
        <v>441</v>
      </c>
      <c r="D177" s="644" t="str">
        <f>IF('WK2 - Notional General Income'!C144="","",'WK2 - Notional General Income'!C144)</f>
        <v/>
      </c>
      <c r="E177" s="635" t="str">
        <f>IF('WK2 - Notional General Income'!L144="","",'WK2 - Notional General Income'!L144/'WK2 - Notional General Income'!D144)</f>
        <v/>
      </c>
      <c r="F177" s="635" t="str">
        <f>IF('WK3 - Notional GI Yr1 YIELD'!L141="","",'WK3 - Notional GI Yr1 YIELD'!L141/'WK3 - Notional GI Yr1 YIELD'!D141)</f>
        <v/>
      </c>
      <c r="G177" s="472"/>
      <c r="H177" s="472"/>
      <c r="I177" s="472"/>
      <c r="J177" s="472"/>
      <c r="K177" s="472"/>
      <c r="L177" s="472"/>
      <c r="M177" s="38"/>
      <c r="N177" s="632" t="str">
        <f t="shared" si="55"/>
        <v/>
      </c>
      <c r="O177" s="633" t="str">
        <f t="shared" si="56"/>
        <v/>
      </c>
      <c r="P177" s="632" t="str">
        <f t="shared" si="57"/>
        <v/>
      </c>
      <c r="Q177" s="634" t="str">
        <f t="shared" si="58"/>
        <v/>
      </c>
      <c r="R177" s="635" t="str">
        <f t="shared" si="59"/>
        <v/>
      </c>
      <c r="S177" s="633" t="str">
        <f t="shared" si="60"/>
        <v/>
      </c>
      <c r="T177" s="632" t="str">
        <f t="shared" si="61"/>
        <v/>
      </c>
      <c r="U177" s="634" t="str">
        <f t="shared" si="62"/>
        <v/>
      </c>
      <c r="V177" s="635" t="str">
        <f t="shared" si="63"/>
        <v/>
      </c>
      <c r="W177" s="633" t="str">
        <f t="shared" si="64"/>
        <v/>
      </c>
      <c r="X177" s="632" t="str">
        <f t="shared" si="65"/>
        <v/>
      </c>
      <c r="Y177" s="634" t="str">
        <f t="shared" si="66"/>
        <v/>
      </c>
      <c r="Z177" s="635" t="str">
        <f t="shared" si="67"/>
        <v/>
      </c>
      <c r="AA177" s="633" t="str">
        <f t="shared" si="68"/>
        <v/>
      </c>
      <c r="AB177" s="632" t="str">
        <f t="shared" si="69"/>
        <v/>
      </c>
      <c r="AC177" s="634" t="str">
        <f t="shared" si="70"/>
        <v/>
      </c>
      <c r="AD177" s="635" t="str">
        <f t="shared" si="71"/>
        <v/>
      </c>
      <c r="AE177" s="633" t="str">
        <f t="shared" si="72"/>
        <v/>
      </c>
      <c r="AF177" s="632" t="str">
        <f t="shared" si="73"/>
        <v/>
      </c>
      <c r="AG177" s="634" t="str">
        <f t="shared" si="74"/>
        <v/>
      </c>
      <c r="AH177" s="635" t="str">
        <f t="shared" si="75"/>
        <v/>
      </c>
      <c r="AI177" s="633" t="str">
        <f t="shared" si="76"/>
        <v/>
      </c>
      <c r="AJ177" s="632" t="str">
        <f t="shared" si="77"/>
        <v/>
      </c>
      <c r="AK177" s="636" t="str">
        <f t="shared" si="78"/>
        <v/>
      </c>
      <c r="AL177" s="637" t="str">
        <f t="shared" si="79"/>
        <v/>
      </c>
      <c r="AM177" s="633" t="str">
        <f t="shared" si="80"/>
        <v/>
      </c>
      <c r="AN177" s="38"/>
    </row>
    <row r="178" spans="1:40" s="162" customFormat="1" ht="13.2" x14ac:dyDescent="0.25">
      <c r="A178" s="454"/>
      <c r="B178" s="455"/>
      <c r="C178" s="473"/>
      <c r="D178" s="473" t="s">
        <v>419</v>
      </c>
      <c r="E178" s="635" t="str">
        <f>IF(SUM(E158:E177)=0,"",('WK2 - Notional General Income'!L85+SUM('WK2 - Notional General Income'!L135:L144))/'WK2 - Notional General Income'!D85)</f>
        <v/>
      </c>
      <c r="F178" s="635" t="str">
        <f>IF(SUM(F158:F177)=0,"",('WK3 - Notional GI Yr1 YIELD'!L82+SUM('WK3 - Notional GI Yr1 YIELD'!L132:L141))/'WK3 - Notional GI Yr1 YIELD'!D82)</f>
        <v/>
      </c>
      <c r="G178" s="635" t="e">
        <f>G537/'WK3 - Notional GI Yr1 YIELD'!$D$82</f>
        <v>#DIV/0!</v>
      </c>
      <c r="H178" s="635" t="e">
        <f>H537/'WK3 - Notional GI Yr1 YIELD'!$D$82</f>
        <v>#DIV/0!</v>
      </c>
      <c r="I178" s="635" t="e">
        <f>I537/'WK3 - Notional GI Yr1 YIELD'!$D$82</f>
        <v>#DIV/0!</v>
      </c>
      <c r="J178" s="635" t="e">
        <f>J537/'WK3 - Notional GI Yr1 YIELD'!$D$82</f>
        <v>#DIV/0!</v>
      </c>
      <c r="K178" s="635" t="e">
        <f>K537/'WK3 - Notional GI Yr1 YIELD'!$D$82</f>
        <v>#DIV/0!</v>
      </c>
      <c r="L178" s="635" t="e">
        <f>L537/'WK3 - Notional GI Yr1 YIELD'!$D$82</f>
        <v>#DIV/0!</v>
      </c>
      <c r="M178" s="455"/>
      <c r="N178" s="632" t="str">
        <f t="shared" si="55"/>
        <v/>
      </c>
      <c r="O178" s="633" t="str">
        <f t="shared" si="56"/>
        <v/>
      </c>
      <c r="P178" s="632" t="e">
        <f t="shared" si="57"/>
        <v>#DIV/0!</v>
      </c>
      <c r="Q178" s="634" t="e">
        <f t="shared" si="58"/>
        <v>#DIV/0!</v>
      </c>
      <c r="R178" s="635" t="e">
        <f t="shared" si="59"/>
        <v>#DIV/0!</v>
      </c>
      <c r="S178" s="633" t="e">
        <f t="shared" si="60"/>
        <v>#DIV/0!</v>
      </c>
      <c r="T178" s="632" t="e">
        <f t="shared" si="61"/>
        <v>#DIV/0!</v>
      </c>
      <c r="U178" s="634" t="e">
        <f t="shared" si="62"/>
        <v>#DIV/0!</v>
      </c>
      <c r="V178" s="635" t="e">
        <f t="shared" si="63"/>
        <v>#DIV/0!</v>
      </c>
      <c r="W178" s="633" t="e">
        <f t="shared" si="64"/>
        <v>#DIV/0!</v>
      </c>
      <c r="X178" s="632" t="e">
        <f t="shared" si="65"/>
        <v>#DIV/0!</v>
      </c>
      <c r="Y178" s="634" t="e">
        <f t="shared" si="66"/>
        <v>#DIV/0!</v>
      </c>
      <c r="Z178" s="635" t="e">
        <f t="shared" si="67"/>
        <v>#DIV/0!</v>
      </c>
      <c r="AA178" s="633" t="e">
        <f t="shared" si="68"/>
        <v>#DIV/0!</v>
      </c>
      <c r="AB178" s="632" t="e">
        <f t="shared" si="69"/>
        <v>#DIV/0!</v>
      </c>
      <c r="AC178" s="634" t="e">
        <f t="shared" si="70"/>
        <v>#DIV/0!</v>
      </c>
      <c r="AD178" s="635" t="e">
        <f t="shared" si="71"/>
        <v>#DIV/0!</v>
      </c>
      <c r="AE178" s="633" t="e">
        <f t="shared" si="72"/>
        <v>#DIV/0!</v>
      </c>
      <c r="AF178" s="632" t="e">
        <f t="shared" si="73"/>
        <v>#DIV/0!</v>
      </c>
      <c r="AG178" s="634" t="e">
        <f t="shared" si="74"/>
        <v>#DIV/0!</v>
      </c>
      <c r="AH178" s="635" t="e">
        <f t="shared" si="75"/>
        <v>#DIV/0!</v>
      </c>
      <c r="AI178" s="633" t="e">
        <f t="shared" si="76"/>
        <v>#DIV/0!</v>
      </c>
      <c r="AJ178" s="632" t="e">
        <f t="shared" si="77"/>
        <v>#DIV/0!</v>
      </c>
      <c r="AK178" s="636" t="e">
        <f t="shared" si="78"/>
        <v>#DIV/0!</v>
      </c>
      <c r="AL178" s="637" t="e">
        <f t="shared" si="79"/>
        <v>#DIV/0!</v>
      </c>
      <c r="AM178" s="633" t="e">
        <f t="shared" si="80"/>
        <v>#DIV/0!</v>
      </c>
      <c r="AN178" s="455"/>
    </row>
    <row r="179" spans="1:40" ht="13.8" thickBot="1" x14ac:dyDescent="0.3">
      <c r="A179" s="26"/>
      <c r="B179" s="38"/>
      <c r="C179" s="358"/>
      <c r="D179" s="358"/>
      <c r="E179" s="358"/>
      <c r="F179" s="358"/>
      <c r="G179" s="358"/>
      <c r="H179" s="358"/>
      <c r="I179" s="358"/>
      <c r="J179" s="358"/>
      <c r="K179" s="358"/>
      <c r="L179" s="359"/>
      <c r="M179" s="38"/>
      <c r="N179" s="632" t="str">
        <f t="shared" si="55"/>
        <v/>
      </c>
      <c r="O179" s="633" t="str">
        <f t="shared" si="56"/>
        <v/>
      </c>
      <c r="P179" s="632" t="str">
        <f t="shared" si="57"/>
        <v/>
      </c>
      <c r="Q179" s="634" t="str">
        <f>IF(P179="","",P179/F179)</f>
        <v/>
      </c>
      <c r="R179" s="635" t="str">
        <f>IF(P179="","",P179+N179)</f>
        <v/>
      </c>
      <c r="S179" s="633" t="str">
        <f>IF(R179="","",R179/E179)</f>
        <v/>
      </c>
      <c r="T179" s="632" t="str">
        <f>IF(H179=0,"",IF(G179=0,"",H179-G179))</f>
        <v/>
      </c>
      <c r="U179" s="634" t="str">
        <f>IF(T179="","",T179/G179)</f>
        <v/>
      </c>
      <c r="V179" s="635" t="str">
        <f>IF(T179="","",T179+R179)</f>
        <v/>
      </c>
      <c r="W179" s="633" t="str">
        <f>IF(V179="","",V179/E179)</f>
        <v/>
      </c>
      <c r="X179" s="632" t="str">
        <f>IF(I179=0,"",IF(H179=0,"",I179-H179))</f>
        <v/>
      </c>
      <c r="Y179" s="634" t="str">
        <f>IF(X179="","",X179/H179)</f>
        <v/>
      </c>
      <c r="Z179" s="635" t="str">
        <f>IF(X179="","",X179+V179)</f>
        <v/>
      </c>
      <c r="AA179" s="633" t="str">
        <f>IF(Z179="","",Z179/E179)</f>
        <v/>
      </c>
      <c r="AB179" s="632" t="str">
        <f>IF(J179=0,"",IF(I179=0,"",J179-I179))</f>
        <v/>
      </c>
      <c r="AC179" s="634" t="str">
        <f>IF(AB179="","",AB179/I179)</f>
        <v/>
      </c>
      <c r="AD179" s="635" t="str">
        <f>IF(AB179="","",AB179+Z179)</f>
        <v/>
      </c>
      <c r="AE179" s="633" t="str">
        <f>IF(AD179="","",AD179/E179)</f>
        <v/>
      </c>
      <c r="AF179" s="632" t="str">
        <f>IF(K179=0,"",IF(J179=0,"",K179-J179))</f>
        <v/>
      </c>
      <c r="AG179" s="634" t="str">
        <f>IF(AF179="","",AF179/J179)</f>
        <v/>
      </c>
      <c r="AH179" s="635" t="str">
        <f>IF(AF179="","",AF179+AD179)</f>
        <v/>
      </c>
      <c r="AI179" s="633" t="str">
        <f>IF(AH179="","",AH179/E179)</f>
        <v/>
      </c>
      <c r="AJ179" s="632" t="str">
        <f>IF(L179=0,"",IF(K179=0,"",L179-K179))</f>
        <v/>
      </c>
      <c r="AK179" s="636" t="str">
        <f>IF(AJ179="","",AJ179/K179)</f>
        <v/>
      </c>
      <c r="AL179" s="637" t="str">
        <f>IF(AJ179="","",AJ179+AH179)</f>
        <v/>
      </c>
      <c r="AM179" s="633" t="str">
        <f>IF(AL179="","",AL179/E179)</f>
        <v/>
      </c>
      <c r="AN179" s="38"/>
    </row>
    <row r="180" spans="1:40" ht="12" thickTop="1" x14ac:dyDescent="0.2">
      <c r="A180" s="28"/>
      <c r="B180" s="38"/>
      <c r="C180" s="38"/>
      <c r="D180" s="38"/>
      <c r="E180" s="38"/>
      <c r="F180" s="38"/>
      <c r="G180" s="38"/>
      <c r="H180" s="38"/>
      <c r="I180" s="38"/>
      <c r="J180" s="38"/>
      <c r="K180" s="38"/>
      <c r="L180" s="38"/>
      <c r="M180" s="38"/>
      <c r="N180" s="242"/>
      <c r="O180" s="242"/>
      <c r="P180" s="242"/>
      <c r="Q180" s="242"/>
      <c r="R180" s="242"/>
      <c r="S180" s="242"/>
      <c r="T180" s="242"/>
      <c r="U180" s="242"/>
      <c r="V180" s="242"/>
      <c r="W180" s="242"/>
      <c r="X180" s="242"/>
      <c r="Y180" s="242"/>
      <c r="Z180" s="242"/>
      <c r="AA180" s="242"/>
      <c r="AB180" s="242"/>
      <c r="AC180" s="242"/>
      <c r="AD180" s="242"/>
      <c r="AE180" s="242"/>
      <c r="AF180" s="242"/>
      <c r="AG180" s="242"/>
      <c r="AH180" s="242"/>
      <c r="AI180" s="242"/>
      <c r="AJ180" s="242"/>
      <c r="AK180" s="242"/>
      <c r="AL180" s="242"/>
      <c r="AM180" s="242"/>
      <c r="AN180" s="38"/>
    </row>
    <row r="181" spans="1:40" ht="15.6" x14ac:dyDescent="0.3">
      <c r="A181" s="26"/>
      <c r="B181" s="38"/>
      <c r="C181" s="83" t="s">
        <v>690</v>
      </c>
      <c r="D181" s="38"/>
      <c r="E181" s="38"/>
      <c r="F181" s="38"/>
      <c r="G181" s="38"/>
      <c r="H181" s="38"/>
      <c r="I181" s="38"/>
      <c r="J181" s="38"/>
      <c r="K181" s="38"/>
      <c r="L181" s="38"/>
      <c r="M181" s="38"/>
      <c r="N181" s="83"/>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row>
    <row r="182" spans="1:40" ht="9" customHeight="1" thickBot="1" x14ac:dyDescent="0.35">
      <c r="A182" s="26"/>
      <c r="B182" s="38"/>
      <c r="C182" s="83"/>
      <c r="D182" s="38"/>
      <c r="E182" s="38"/>
      <c r="F182" s="38"/>
      <c r="G182" s="38"/>
      <c r="H182" s="38"/>
      <c r="I182" s="38"/>
      <c r="J182" s="38"/>
      <c r="K182" s="38"/>
      <c r="L182" s="38"/>
      <c r="M182" s="38"/>
      <c r="N182" s="244"/>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244"/>
      <c r="AN182" s="38"/>
    </row>
    <row r="183" spans="1:40" ht="16.8" thickTop="1" thickBot="1" x14ac:dyDescent="0.35">
      <c r="A183" s="26"/>
      <c r="B183" s="38"/>
      <c r="C183" s="38"/>
      <c r="D183" s="38"/>
      <c r="E183" s="38"/>
      <c r="F183" s="812" t="s">
        <v>691</v>
      </c>
      <c r="G183" s="813"/>
      <c r="H183" s="813"/>
      <c r="I183" s="813"/>
      <c r="J183" s="813"/>
      <c r="K183" s="813"/>
      <c r="L183" s="814"/>
      <c r="M183" s="38"/>
      <c r="N183" s="815" t="s">
        <v>595</v>
      </c>
      <c r="O183" s="816"/>
      <c r="P183" s="816"/>
      <c r="Q183" s="816"/>
      <c r="R183" s="816"/>
      <c r="S183" s="816"/>
      <c r="T183" s="816"/>
      <c r="U183" s="816"/>
      <c r="V183" s="816"/>
      <c r="W183" s="816"/>
      <c r="X183" s="816"/>
      <c r="Y183" s="816"/>
      <c r="Z183" s="816"/>
      <c r="AA183" s="816"/>
      <c r="AB183" s="816"/>
      <c r="AC183" s="816"/>
      <c r="AD183" s="816"/>
      <c r="AE183" s="816"/>
      <c r="AF183" s="816"/>
      <c r="AG183" s="816"/>
      <c r="AH183" s="816"/>
      <c r="AI183" s="816"/>
      <c r="AJ183" s="816"/>
      <c r="AK183" s="816"/>
      <c r="AL183" s="816"/>
      <c r="AM183" s="817"/>
      <c r="AN183" s="38"/>
    </row>
    <row r="184" spans="1:40" ht="39" customHeight="1" thickTop="1" x14ac:dyDescent="0.25">
      <c r="A184" s="26"/>
      <c r="B184" s="38"/>
      <c r="C184" s="255" t="s">
        <v>220</v>
      </c>
      <c r="D184" s="256" t="s">
        <v>308</v>
      </c>
      <c r="E184" s="257" t="s">
        <v>599</v>
      </c>
      <c r="F184" s="258" t="s">
        <v>600</v>
      </c>
      <c r="G184" s="258" t="s">
        <v>601</v>
      </c>
      <c r="H184" s="258" t="s">
        <v>602</v>
      </c>
      <c r="I184" s="258" t="s">
        <v>603</v>
      </c>
      <c r="J184" s="258" t="s">
        <v>604</v>
      </c>
      <c r="K184" s="258" t="s">
        <v>605</v>
      </c>
      <c r="L184" s="259" t="s">
        <v>606</v>
      </c>
      <c r="M184" s="38"/>
      <c r="N184" s="795" t="s">
        <v>37</v>
      </c>
      <c r="O184" s="797"/>
      <c r="P184" s="795" t="s">
        <v>38</v>
      </c>
      <c r="Q184" s="796"/>
      <c r="R184" s="796"/>
      <c r="S184" s="797"/>
      <c r="T184" s="795" t="s">
        <v>39</v>
      </c>
      <c r="U184" s="796"/>
      <c r="V184" s="796"/>
      <c r="W184" s="797"/>
      <c r="X184" s="795" t="s">
        <v>40</v>
      </c>
      <c r="Y184" s="796"/>
      <c r="Z184" s="796"/>
      <c r="AA184" s="797"/>
      <c r="AB184" s="795" t="s">
        <v>41</v>
      </c>
      <c r="AC184" s="796"/>
      <c r="AD184" s="796"/>
      <c r="AE184" s="797"/>
      <c r="AF184" s="795" t="s">
        <v>42</v>
      </c>
      <c r="AG184" s="796"/>
      <c r="AH184" s="796"/>
      <c r="AI184" s="797"/>
      <c r="AJ184" s="795" t="s">
        <v>43</v>
      </c>
      <c r="AK184" s="796"/>
      <c r="AL184" s="796"/>
      <c r="AM184" s="819"/>
      <c r="AN184" s="38"/>
    </row>
    <row r="185" spans="1:40" ht="13.2" x14ac:dyDescent="0.25">
      <c r="A185" s="26"/>
      <c r="B185" s="38"/>
      <c r="C185" s="260"/>
      <c r="D185" s="261"/>
      <c r="E185" s="629" t="str">
        <f t="shared" ref="E185:L185" si="81">E59</f>
        <v>2017-18</v>
      </c>
      <c r="F185" s="629" t="str">
        <f t="shared" si="81"/>
        <v>2018-19</v>
      </c>
      <c r="G185" s="629" t="str">
        <f t="shared" si="81"/>
        <v>2019-20</v>
      </c>
      <c r="H185" s="629" t="str">
        <f t="shared" si="81"/>
        <v>2020-21</v>
      </c>
      <c r="I185" s="629" t="str">
        <f t="shared" si="81"/>
        <v>2021-22</v>
      </c>
      <c r="J185" s="629" t="str">
        <f t="shared" si="81"/>
        <v>2022-23</v>
      </c>
      <c r="K185" s="629" t="str">
        <f t="shared" si="81"/>
        <v>2023-24</v>
      </c>
      <c r="L185" s="631" t="str">
        <f t="shared" si="81"/>
        <v>2024-25</v>
      </c>
      <c r="M185" s="38"/>
      <c r="N185" s="235" t="s">
        <v>44</v>
      </c>
      <c r="O185" s="232" t="s">
        <v>67</v>
      </c>
      <c r="P185" s="235" t="s">
        <v>44</v>
      </c>
      <c r="Q185" s="231" t="s">
        <v>67</v>
      </c>
      <c r="R185" s="228" t="s">
        <v>45</v>
      </c>
      <c r="S185" s="232" t="s">
        <v>67</v>
      </c>
      <c r="T185" s="235" t="s">
        <v>44</v>
      </c>
      <c r="U185" s="228" t="s">
        <v>67</v>
      </c>
      <c r="V185" s="229" t="s">
        <v>45</v>
      </c>
      <c r="W185" s="232" t="s">
        <v>67</v>
      </c>
      <c r="X185" s="235" t="s">
        <v>44</v>
      </c>
      <c r="Y185" s="231" t="s">
        <v>67</v>
      </c>
      <c r="Z185" s="228" t="s">
        <v>45</v>
      </c>
      <c r="AA185" s="232" t="s">
        <v>67</v>
      </c>
      <c r="AB185" s="235" t="s">
        <v>44</v>
      </c>
      <c r="AC185" s="231" t="s">
        <v>67</v>
      </c>
      <c r="AD185" s="228" t="s">
        <v>45</v>
      </c>
      <c r="AE185" s="232" t="s">
        <v>67</v>
      </c>
      <c r="AF185" s="235" t="s">
        <v>44</v>
      </c>
      <c r="AG185" s="228" t="s">
        <v>67</v>
      </c>
      <c r="AH185" s="229" t="s">
        <v>45</v>
      </c>
      <c r="AI185" s="232" t="s">
        <v>67</v>
      </c>
      <c r="AJ185" s="235" t="s">
        <v>44</v>
      </c>
      <c r="AK185" s="231" t="s">
        <v>67</v>
      </c>
      <c r="AL185" s="228" t="s">
        <v>45</v>
      </c>
      <c r="AM185" s="230" t="s">
        <v>67</v>
      </c>
      <c r="AN185" s="38"/>
    </row>
    <row r="186" spans="1:40" ht="13.2" x14ac:dyDescent="0.25">
      <c r="A186" s="26"/>
      <c r="B186" s="38"/>
      <c r="C186" s="261" t="s">
        <v>207</v>
      </c>
      <c r="D186" s="644" t="str">
        <f t="shared" ref="D186:E215" si="82">D60</f>
        <v>Urban/Village</v>
      </c>
      <c r="E186" s="635">
        <f t="shared" si="82"/>
        <v>1169.834439326047</v>
      </c>
      <c r="F186" s="357">
        <f>E186*1.023</f>
        <v>1196.740631430546</v>
      </c>
      <c r="G186" s="357">
        <f>F186*1.025</f>
        <v>1226.6591472163095</v>
      </c>
      <c r="H186" s="357">
        <f t="shared" ref="H186:J187" si="83">G186*1.025</f>
        <v>1257.3256258967172</v>
      </c>
      <c r="I186" s="357">
        <f t="shared" si="83"/>
        <v>1288.7587665441349</v>
      </c>
      <c r="J186" s="357">
        <f t="shared" si="83"/>
        <v>1320.9777357077382</v>
      </c>
      <c r="K186" s="357"/>
      <c r="L186" s="357"/>
      <c r="M186" s="38"/>
      <c r="N186" s="632">
        <f t="shared" ref="N186:N305" si="84">IF(F186=0,"",IF(E186=0,"",F186-E186))</f>
        <v>26.906192104499041</v>
      </c>
      <c r="O186" s="633">
        <f t="shared" ref="O186:O305" si="85">IF(N186="","",N186/E186)</f>
        <v>2.2999999999999965E-2</v>
      </c>
      <c r="P186" s="632">
        <f>IF(G186=0,"",IF(F186=0,"",G186-F186))</f>
        <v>29.918515785763475</v>
      </c>
      <c r="Q186" s="634">
        <f t="shared" ref="Q186:Q305" si="86">IF(P186="","",P186/F186)</f>
        <v>2.4999999999999852E-2</v>
      </c>
      <c r="R186" s="635">
        <f>IF(P186="","",P186+N186)</f>
        <v>56.824707890262516</v>
      </c>
      <c r="S186" s="633">
        <f t="shared" ref="S186:S305" si="87">IF(R186="","",R186/E186)</f>
        <v>4.8574999999999813E-2</v>
      </c>
      <c r="T186" s="632">
        <f t="shared" ref="T186:T249" si="88">IF(H186=0,"",IF(G186=0,"",H186-G186))</f>
        <v>30.666478680407636</v>
      </c>
      <c r="U186" s="636">
        <f t="shared" ref="U186:U304" si="89">IF(T186="","",T186/G186)</f>
        <v>2.4999999999999918E-2</v>
      </c>
      <c r="V186" s="637">
        <f t="shared" ref="V186:V304" si="90">IF(T186="","",T186+R186)</f>
        <v>87.491186570670152</v>
      </c>
      <c r="W186" s="633">
        <f t="shared" ref="W186:W304" si="91">IF(V186="","",V186/E186)</f>
        <v>7.4789374999999728E-2</v>
      </c>
      <c r="X186" s="632">
        <f t="shared" ref="X186:X249" si="92">IF(I186=0,"",IF(H186=0,"",I186-H186))</f>
        <v>31.433140647417758</v>
      </c>
      <c r="Y186" s="634">
        <f t="shared" ref="Y186:Y304" si="93">IF(X186="","",X186/H186)</f>
        <v>2.4999999999999866E-2</v>
      </c>
      <c r="Z186" s="635">
        <f t="shared" ref="Z186:Z304" si="94">IF(X186="","",X186+V186)</f>
        <v>118.92432721808791</v>
      </c>
      <c r="AA186" s="633">
        <f t="shared" ref="AA186:AA304" si="95">IF(Z186="","",Z186/E186)</f>
        <v>0.10165910937499957</v>
      </c>
      <c r="AB186" s="632">
        <f t="shared" ref="AB186:AB249" si="96">IF(J186=0,"",IF(I186=0,"",J186-I186))</f>
        <v>32.218969163603333</v>
      </c>
      <c r="AC186" s="634">
        <f t="shared" ref="AC186:AC304" si="97">IF(AB186="","",AB186/I186)</f>
        <v>2.499999999999997E-2</v>
      </c>
      <c r="AD186" s="635">
        <f t="shared" ref="AD186:AD304" si="98">IF(AB186="","",AB186+Z186)</f>
        <v>151.14329638169124</v>
      </c>
      <c r="AE186" s="633">
        <f t="shared" ref="AE186:AE304" si="99">IF(AD186="","",AD186/E186)</f>
        <v>0.12920058710937452</v>
      </c>
      <c r="AF186" s="632" t="str">
        <f t="shared" ref="AF186:AF249" si="100">IF(K186=0,"",IF(J186=0,"",K186-J186))</f>
        <v/>
      </c>
      <c r="AG186" s="636" t="str">
        <f t="shared" ref="AG186:AG304" si="101">IF(AF186="","",AF186/J186)</f>
        <v/>
      </c>
      <c r="AH186" s="637" t="str">
        <f t="shared" ref="AH186:AH304" si="102">IF(AF186="","",AF186+AD186)</f>
        <v/>
      </c>
      <c r="AI186" s="633" t="str">
        <f t="shared" ref="AI186:AI304" si="103">IF(AH186="","",AH186/E186)</f>
        <v/>
      </c>
      <c r="AJ186" s="632" t="str">
        <f t="shared" ref="AJ186:AJ249" si="104">IF(L186=0,"",IF(K186=0,"",L186-K186))</f>
        <v/>
      </c>
      <c r="AK186" s="634" t="str">
        <f t="shared" ref="AK186:AK304" si="105">IF(AJ186="","",AJ186/K186)</f>
        <v/>
      </c>
      <c r="AL186" s="635" t="str">
        <f t="shared" ref="AL186:AL304" si="106">IF(AJ186="","",AJ186+AH186)</f>
        <v/>
      </c>
      <c r="AM186" s="645" t="str">
        <f t="shared" ref="AM186:AM304" si="107">IF(AL186="","",AL186/E186)</f>
        <v/>
      </c>
      <c r="AN186" s="38"/>
    </row>
    <row r="187" spans="1:40" ht="13.2" x14ac:dyDescent="0.25">
      <c r="A187" s="26"/>
      <c r="B187" s="38"/>
      <c r="C187" s="261" t="s">
        <v>207</v>
      </c>
      <c r="D187" s="644" t="str">
        <f t="shared" si="82"/>
        <v>Rural</v>
      </c>
      <c r="E187" s="635">
        <f t="shared" si="82"/>
        <v>1465.4139200000002</v>
      </c>
      <c r="F187" s="357">
        <f>E187*1.023</f>
        <v>1499.1184401600001</v>
      </c>
      <c r="G187" s="357">
        <f>F187*1.025</f>
        <v>1536.5964011639999</v>
      </c>
      <c r="H187" s="357">
        <f t="shared" si="83"/>
        <v>1575.0113111930998</v>
      </c>
      <c r="I187" s="357">
        <f t="shared" si="83"/>
        <v>1614.3865939729271</v>
      </c>
      <c r="J187" s="357">
        <f t="shared" si="83"/>
        <v>1654.7462588222502</v>
      </c>
      <c r="K187" s="357"/>
      <c r="L187" s="357"/>
      <c r="M187" s="38"/>
      <c r="N187" s="632">
        <f t="shared" si="84"/>
        <v>33.704520159999902</v>
      </c>
      <c r="O187" s="633">
        <f t="shared" si="85"/>
        <v>2.299999999999993E-2</v>
      </c>
      <c r="P187" s="632">
        <f t="shared" ref="P187:P250" si="108">IF(G187=0,"",IF(F187=0,"",G187-F187))</f>
        <v>37.477961003999781</v>
      </c>
      <c r="Q187" s="634">
        <f t="shared" si="86"/>
        <v>2.4999999999999852E-2</v>
      </c>
      <c r="R187" s="635">
        <f t="shared" ref="R187:R250" si="109">IF(P187="","",P187+N187)</f>
        <v>71.182481163999682</v>
      </c>
      <c r="S187" s="633">
        <f t="shared" si="87"/>
        <v>4.8574999999999778E-2</v>
      </c>
      <c r="T187" s="632">
        <f t="shared" si="88"/>
        <v>38.414910029099929</v>
      </c>
      <c r="U187" s="636">
        <f t="shared" si="89"/>
        <v>2.4999999999999956E-2</v>
      </c>
      <c r="V187" s="637">
        <f t="shared" si="90"/>
        <v>109.59739119309961</v>
      </c>
      <c r="W187" s="633">
        <f t="shared" si="91"/>
        <v>7.4789374999999728E-2</v>
      </c>
      <c r="X187" s="632">
        <f t="shared" si="92"/>
        <v>39.37528277982733</v>
      </c>
      <c r="Y187" s="634">
        <f t="shared" si="93"/>
        <v>2.4999999999999894E-2</v>
      </c>
      <c r="Z187" s="635">
        <f t="shared" si="94"/>
        <v>148.97267397292694</v>
      </c>
      <c r="AA187" s="633">
        <f t="shared" si="95"/>
        <v>0.10165910937499961</v>
      </c>
      <c r="AB187" s="632">
        <f t="shared" si="96"/>
        <v>40.359664849323053</v>
      </c>
      <c r="AC187" s="634">
        <f t="shared" si="97"/>
        <v>2.4999999999999922E-2</v>
      </c>
      <c r="AD187" s="635">
        <f t="shared" si="98"/>
        <v>189.33233882224999</v>
      </c>
      <c r="AE187" s="633">
        <f t="shared" si="99"/>
        <v>0.12920058710937452</v>
      </c>
      <c r="AF187" s="632" t="str">
        <f t="shared" si="100"/>
        <v/>
      </c>
      <c r="AG187" s="636" t="str">
        <f t="shared" si="101"/>
        <v/>
      </c>
      <c r="AH187" s="637" t="str">
        <f t="shared" si="102"/>
        <v/>
      </c>
      <c r="AI187" s="633" t="str">
        <f t="shared" si="103"/>
        <v/>
      </c>
      <c r="AJ187" s="632" t="str">
        <f t="shared" si="104"/>
        <v/>
      </c>
      <c r="AK187" s="634" t="str">
        <f t="shared" si="105"/>
        <v/>
      </c>
      <c r="AL187" s="635" t="str">
        <f t="shared" si="106"/>
        <v/>
      </c>
      <c r="AM187" s="645" t="str">
        <f t="shared" si="107"/>
        <v/>
      </c>
      <c r="AN187" s="38"/>
    </row>
    <row r="188" spans="1:40" ht="13.2" x14ac:dyDescent="0.25">
      <c r="A188" s="26"/>
      <c r="B188" s="38"/>
      <c r="C188" s="261" t="s">
        <v>207</v>
      </c>
      <c r="D188" s="644" t="str">
        <f t="shared" si="82"/>
        <v/>
      </c>
      <c r="E188" s="635" t="str">
        <f t="shared" si="82"/>
        <v/>
      </c>
      <c r="F188" s="357"/>
      <c r="G188" s="357"/>
      <c r="H188" s="357"/>
      <c r="I188" s="357"/>
      <c r="J188" s="357"/>
      <c r="K188" s="357"/>
      <c r="L188" s="357"/>
      <c r="M188" s="38"/>
      <c r="N188" s="632" t="str">
        <f t="shared" si="84"/>
        <v/>
      </c>
      <c r="O188" s="633" t="str">
        <f t="shared" si="85"/>
        <v/>
      </c>
      <c r="P188" s="632" t="str">
        <f t="shared" si="108"/>
        <v/>
      </c>
      <c r="Q188" s="634" t="str">
        <f t="shared" si="86"/>
        <v/>
      </c>
      <c r="R188" s="635" t="str">
        <f t="shared" si="109"/>
        <v/>
      </c>
      <c r="S188" s="633" t="str">
        <f t="shared" si="87"/>
        <v/>
      </c>
      <c r="T188" s="632" t="str">
        <f t="shared" si="88"/>
        <v/>
      </c>
      <c r="U188" s="636" t="str">
        <f t="shared" si="89"/>
        <v/>
      </c>
      <c r="V188" s="637" t="str">
        <f t="shared" si="90"/>
        <v/>
      </c>
      <c r="W188" s="633" t="str">
        <f t="shared" si="91"/>
        <v/>
      </c>
      <c r="X188" s="632" t="str">
        <f t="shared" si="92"/>
        <v/>
      </c>
      <c r="Y188" s="634" t="str">
        <f t="shared" si="93"/>
        <v/>
      </c>
      <c r="Z188" s="635" t="str">
        <f t="shared" si="94"/>
        <v/>
      </c>
      <c r="AA188" s="633" t="str">
        <f t="shared" si="95"/>
        <v/>
      </c>
      <c r="AB188" s="632" t="str">
        <f t="shared" si="96"/>
        <v/>
      </c>
      <c r="AC188" s="634" t="str">
        <f t="shared" si="97"/>
        <v/>
      </c>
      <c r="AD188" s="635" t="str">
        <f t="shared" si="98"/>
        <v/>
      </c>
      <c r="AE188" s="633" t="str">
        <f t="shared" si="99"/>
        <v/>
      </c>
      <c r="AF188" s="632" t="str">
        <f t="shared" si="100"/>
        <v/>
      </c>
      <c r="AG188" s="636" t="str">
        <f t="shared" si="101"/>
        <v/>
      </c>
      <c r="AH188" s="637" t="str">
        <f t="shared" si="102"/>
        <v/>
      </c>
      <c r="AI188" s="633" t="str">
        <f t="shared" si="103"/>
        <v/>
      </c>
      <c r="AJ188" s="632" t="str">
        <f t="shared" si="104"/>
        <v/>
      </c>
      <c r="AK188" s="634" t="str">
        <f t="shared" si="105"/>
        <v/>
      </c>
      <c r="AL188" s="635" t="str">
        <f t="shared" si="106"/>
        <v/>
      </c>
      <c r="AM188" s="645" t="str">
        <f t="shared" si="107"/>
        <v/>
      </c>
      <c r="AN188" s="38"/>
    </row>
    <row r="189" spans="1:40" ht="13.2" x14ac:dyDescent="0.25">
      <c r="A189" s="26"/>
      <c r="B189" s="38"/>
      <c r="C189" s="261" t="s">
        <v>207</v>
      </c>
      <c r="D189" s="644" t="str">
        <f t="shared" si="82"/>
        <v/>
      </c>
      <c r="E189" s="635" t="str">
        <f t="shared" si="82"/>
        <v/>
      </c>
      <c r="F189" s="357"/>
      <c r="G189" s="357"/>
      <c r="H189" s="357"/>
      <c r="I189" s="357"/>
      <c r="J189" s="357"/>
      <c r="K189" s="357"/>
      <c r="L189" s="357"/>
      <c r="M189" s="38"/>
      <c r="N189" s="632" t="str">
        <f t="shared" si="84"/>
        <v/>
      </c>
      <c r="O189" s="633" t="str">
        <f t="shared" si="85"/>
        <v/>
      </c>
      <c r="P189" s="632" t="str">
        <f t="shared" si="108"/>
        <v/>
      </c>
      <c r="Q189" s="634" t="str">
        <f t="shared" si="86"/>
        <v/>
      </c>
      <c r="R189" s="635" t="str">
        <f t="shared" si="109"/>
        <v/>
      </c>
      <c r="S189" s="633" t="str">
        <f t="shared" si="87"/>
        <v/>
      </c>
      <c r="T189" s="632" t="str">
        <f t="shared" si="88"/>
        <v/>
      </c>
      <c r="U189" s="636" t="str">
        <f t="shared" si="89"/>
        <v/>
      </c>
      <c r="V189" s="637" t="str">
        <f t="shared" si="90"/>
        <v/>
      </c>
      <c r="W189" s="633" t="str">
        <f t="shared" si="91"/>
        <v/>
      </c>
      <c r="X189" s="632" t="str">
        <f t="shared" si="92"/>
        <v/>
      </c>
      <c r="Y189" s="634" t="str">
        <f t="shared" si="93"/>
        <v/>
      </c>
      <c r="Z189" s="635" t="str">
        <f t="shared" si="94"/>
        <v/>
      </c>
      <c r="AA189" s="633" t="str">
        <f t="shared" si="95"/>
        <v/>
      </c>
      <c r="AB189" s="632" t="str">
        <f t="shared" si="96"/>
        <v/>
      </c>
      <c r="AC189" s="634" t="str">
        <f t="shared" si="97"/>
        <v/>
      </c>
      <c r="AD189" s="635" t="str">
        <f t="shared" si="98"/>
        <v/>
      </c>
      <c r="AE189" s="633" t="str">
        <f t="shared" si="99"/>
        <v/>
      </c>
      <c r="AF189" s="632" t="str">
        <f t="shared" si="100"/>
        <v/>
      </c>
      <c r="AG189" s="636" t="str">
        <f t="shared" si="101"/>
        <v/>
      </c>
      <c r="AH189" s="637" t="str">
        <f t="shared" si="102"/>
        <v/>
      </c>
      <c r="AI189" s="633" t="str">
        <f t="shared" si="103"/>
        <v/>
      </c>
      <c r="AJ189" s="632" t="str">
        <f t="shared" si="104"/>
        <v/>
      </c>
      <c r="AK189" s="634" t="str">
        <f t="shared" si="105"/>
        <v/>
      </c>
      <c r="AL189" s="635" t="str">
        <f t="shared" si="106"/>
        <v/>
      </c>
      <c r="AM189" s="645" t="str">
        <f t="shared" si="107"/>
        <v/>
      </c>
      <c r="AN189" s="38"/>
    </row>
    <row r="190" spans="1:40" ht="13.2" x14ac:dyDescent="0.25">
      <c r="A190" s="26"/>
      <c r="B190" s="38"/>
      <c r="C190" s="261" t="s">
        <v>207</v>
      </c>
      <c r="D190" s="644" t="str">
        <f t="shared" si="82"/>
        <v/>
      </c>
      <c r="E190" s="635" t="str">
        <f t="shared" si="82"/>
        <v/>
      </c>
      <c r="F190" s="357"/>
      <c r="G190" s="357"/>
      <c r="H190" s="357"/>
      <c r="I190" s="357"/>
      <c r="J190" s="357"/>
      <c r="K190" s="357"/>
      <c r="L190" s="357"/>
      <c r="M190" s="38"/>
      <c r="N190" s="632" t="str">
        <f t="shared" si="84"/>
        <v/>
      </c>
      <c r="O190" s="633" t="str">
        <f t="shared" si="85"/>
        <v/>
      </c>
      <c r="P190" s="632" t="str">
        <f t="shared" si="108"/>
        <v/>
      </c>
      <c r="Q190" s="634" t="str">
        <f t="shared" si="86"/>
        <v/>
      </c>
      <c r="R190" s="635" t="str">
        <f t="shared" si="109"/>
        <v/>
      </c>
      <c r="S190" s="633" t="str">
        <f t="shared" si="87"/>
        <v/>
      </c>
      <c r="T190" s="632" t="str">
        <f t="shared" si="88"/>
        <v/>
      </c>
      <c r="U190" s="636" t="str">
        <f t="shared" si="89"/>
        <v/>
      </c>
      <c r="V190" s="637" t="str">
        <f t="shared" si="90"/>
        <v/>
      </c>
      <c r="W190" s="633" t="str">
        <f t="shared" si="91"/>
        <v/>
      </c>
      <c r="X190" s="632" t="str">
        <f t="shared" si="92"/>
        <v/>
      </c>
      <c r="Y190" s="634" t="str">
        <f t="shared" si="93"/>
        <v/>
      </c>
      <c r="Z190" s="635" t="str">
        <f t="shared" si="94"/>
        <v/>
      </c>
      <c r="AA190" s="633" t="str">
        <f t="shared" si="95"/>
        <v/>
      </c>
      <c r="AB190" s="632" t="str">
        <f t="shared" si="96"/>
        <v/>
      </c>
      <c r="AC190" s="634" t="str">
        <f t="shared" si="97"/>
        <v/>
      </c>
      <c r="AD190" s="635" t="str">
        <f t="shared" si="98"/>
        <v/>
      </c>
      <c r="AE190" s="633" t="str">
        <f t="shared" si="99"/>
        <v/>
      </c>
      <c r="AF190" s="632" t="str">
        <f t="shared" si="100"/>
        <v/>
      </c>
      <c r="AG190" s="636" t="str">
        <f t="shared" si="101"/>
        <v/>
      </c>
      <c r="AH190" s="637" t="str">
        <f t="shared" si="102"/>
        <v/>
      </c>
      <c r="AI190" s="633" t="str">
        <f t="shared" si="103"/>
        <v/>
      </c>
      <c r="AJ190" s="632" t="str">
        <f t="shared" si="104"/>
        <v/>
      </c>
      <c r="AK190" s="634" t="str">
        <f t="shared" si="105"/>
        <v/>
      </c>
      <c r="AL190" s="635" t="str">
        <f t="shared" si="106"/>
        <v/>
      </c>
      <c r="AM190" s="645" t="str">
        <f t="shared" si="107"/>
        <v/>
      </c>
      <c r="AN190" s="38"/>
    </row>
    <row r="191" spans="1:40" ht="13.2" x14ac:dyDescent="0.25">
      <c r="A191" s="26"/>
      <c r="B191" s="38"/>
      <c r="C191" s="261" t="s">
        <v>207</v>
      </c>
      <c r="D191" s="644" t="str">
        <f t="shared" si="82"/>
        <v/>
      </c>
      <c r="E191" s="635" t="str">
        <f t="shared" si="82"/>
        <v/>
      </c>
      <c r="F191" s="357"/>
      <c r="G191" s="357"/>
      <c r="H191" s="357"/>
      <c r="I191" s="357"/>
      <c r="J191" s="357"/>
      <c r="K191" s="357"/>
      <c r="L191" s="357"/>
      <c r="M191" s="38"/>
      <c r="N191" s="632" t="str">
        <f t="shared" si="84"/>
        <v/>
      </c>
      <c r="O191" s="633" t="str">
        <f t="shared" si="85"/>
        <v/>
      </c>
      <c r="P191" s="632" t="str">
        <f t="shared" si="108"/>
        <v/>
      </c>
      <c r="Q191" s="634" t="str">
        <f t="shared" si="86"/>
        <v/>
      </c>
      <c r="R191" s="635" t="str">
        <f t="shared" si="109"/>
        <v/>
      </c>
      <c r="S191" s="633" t="str">
        <f t="shared" si="87"/>
        <v/>
      </c>
      <c r="T191" s="632" t="str">
        <f t="shared" si="88"/>
        <v/>
      </c>
      <c r="U191" s="636" t="str">
        <f t="shared" si="89"/>
        <v/>
      </c>
      <c r="V191" s="637" t="str">
        <f t="shared" si="90"/>
        <v/>
      </c>
      <c r="W191" s="633" t="str">
        <f t="shared" si="91"/>
        <v/>
      </c>
      <c r="X191" s="632" t="str">
        <f t="shared" si="92"/>
        <v/>
      </c>
      <c r="Y191" s="634" t="str">
        <f t="shared" si="93"/>
        <v/>
      </c>
      <c r="Z191" s="635" t="str">
        <f t="shared" si="94"/>
        <v/>
      </c>
      <c r="AA191" s="633" t="str">
        <f t="shared" si="95"/>
        <v/>
      </c>
      <c r="AB191" s="632" t="str">
        <f t="shared" si="96"/>
        <v/>
      </c>
      <c r="AC191" s="634" t="str">
        <f t="shared" si="97"/>
        <v/>
      </c>
      <c r="AD191" s="635" t="str">
        <f t="shared" si="98"/>
        <v/>
      </c>
      <c r="AE191" s="633" t="str">
        <f t="shared" si="99"/>
        <v/>
      </c>
      <c r="AF191" s="632" t="str">
        <f t="shared" si="100"/>
        <v/>
      </c>
      <c r="AG191" s="636" t="str">
        <f t="shared" si="101"/>
        <v/>
      </c>
      <c r="AH191" s="637" t="str">
        <f t="shared" si="102"/>
        <v/>
      </c>
      <c r="AI191" s="633" t="str">
        <f t="shared" si="103"/>
        <v/>
      </c>
      <c r="AJ191" s="632" t="str">
        <f t="shared" si="104"/>
        <v/>
      </c>
      <c r="AK191" s="634" t="str">
        <f t="shared" si="105"/>
        <v/>
      </c>
      <c r="AL191" s="635" t="str">
        <f t="shared" si="106"/>
        <v/>
      </c>
      <c r="AM191" s="645" t="str">
        <f t="shared" si="107"/>
        <v/>
      </c>
      <c r="AN191" s="38"/>
    </row>
    <row r="192" spans="1:40" ht="13.2" x14ac:dyDescent="0.25">
      <c r="A192" s="26"/>
      <c r="B192" s="38"/>
      <c r="C192" s="261" t="s">
        <v>207</v>
      </c>
      <c r="D192" s="644" t="str">
        <f t="shared" si="82"/>
        <v/>
      </c>
      <c r="E192" s="635" t="str">
        <f t="shared" si="82"/>
        <v/>
      </c>
      <c r="F192" s="357"/>
      <c r="G192" s="357"/>
      <c r="H192" s="357"/>
      <c r="I192" s="357"/>
      <c r="J192" s="357"/>
      <c r="K192" s="357"/>
      <c r="L192" s="357"/>
      <c r="M192" s="38"/>
      <c r="N192" s="632" t="str">
        <f t="shared" si="84"/>
        <v/>
      </c>
      <c r="O192" s="633" t="str">
        <f t="shared" si="85"/>
        <v/>
      </c>
      <c r="P192" s="632" t="str">
        <f t="shared" si="108"/>
        <v/>
      </c>
      <c r="Q192" s="634" t="str">
        <f t="shared" si="86"/>
        <v/>
      </c>
      <c r="R192" s="635" t="str">
        <f t="shared" si="109"/>
        <v/>
      </c>
      <c r="S192" s="633" t="str">
        <f t="shared" si="87"/>
        <v/>
      </c>
      <c r="T192" s="632" t="str">
        <f t="shared" si="88"/>
        <v/>
      </c>
      <c r="U192" s="636" t="str">
        <f t="shared" si="89"/>
        <v/>
      </c>
      <c r="V192" s="637" t="str">
        <f t="shared" si="90"/>
        <v/>
      </c>
      <c r="W192" s="633" t="str">
        <f t="shared" si="91"/>
        <v/>
      </c>
      <c r="X192" s="632" t="str">
        <f t="shared" si="92"/>
        <v/>
      </c>
      <c r="Y192" s="634" t="str">
        <f t="shared" si="93"/>
        <v/>
      </c>
      <c r="Z192" s="635" t="str">
        <f t="shared" si="94"/>
        <v/>
      </c>
      <c r="AA192" s="633" t="str">
        <f t="shared" si="95"/>
        <v/>
      </c>
      <c r="AB192" s="632" t="str">
        <f t="shared" si="96"/>
        <v/>
      </c>
      <c r="AC192" s="634" t="str">
        <f t="shared" si="97"/>
        <v/>
      </c>
      <c r="AD192" s="635" t="str">
        <f t="shared" si="98"/>
        <v/>
      </c>
      <c r="AE192" s="633" t="str">
        <f t="shared" si="99"/>
        <v/>
      </c>
      <c r="AF192" s="632" t="str">
        <f t="shared" si="100"/>
        <v/>
      </c>
      <c r="AG192" s="636" t="str">
        <f t="shared" si="101"/>
        <v/>
      </c>
      <c r="AH192" s="637" t="str">
        <f t="shared" si="102"/>
        <v/>
      </c>
      <c r="AI192" s="633" t="str">
        <f t="shared" si="103"/>
        <v/>
      </c>
      <c r="AJ192" s="632" t="str">
        <f t="shared" si="104"/>
        <v/>
      </c>
      <c r="AK192" s="634" t="str">
        <f t="shared" si="105"/>
        <v/>
      </c>
      <c r="AL192" s="635" t="str">
        <f t="shared" si="106"/>
        <v/>
      </c>
      <c r="AM192" s="645" t="str">
        <f t="shared" si="107"/>
        <v/>
      </c>
      <c r="AN192" s="38"/>
    </row>
    <row r="193" spans="1:40" ht="13.2" x14ac:dyDescent="0.25">
      <c r="A193" s="26"/>
      <c r="B193" s="38"/>
      <c r="C193" s="261" t="s">
        <v>207</v>
      </c>
      <c r="D193" s="644" t="str">
        <f t="shared" si="82"/>
        <v/>
      </c>
      <c r="E193" s="635" t="str">
        <f t="shared" si="82"/>
        <v/>
      </c>
      <c r="F193" s="357"/>
      <c r="G193" s="357"/>
      <c r="H193" s="357"/>
      <c r="I193" s="357"/>
      <c r="J193" s="357"/>
      <c r="K193" s="357"/>
      <c r="L193" s="357"/>
      <c r="M193" s="38"/>
      <c r="N193" s="632" t="str">
        <f t="shared" si="84"/>
        <v/>
      </c>
      <c r="O193" s="633" t="str">
        <f t="shared" si="85"/>
        <v/>
      </c>
      <c r="P193" s="632" t="str">
        <f t="shared" si="108"/>
        <v/>
      </c>
      <c r="Q193" s="634" t="str">
        <f t="shared" si="86"/>
        <v/>
      </c>
      <c r="R193" s="635" t="str">
        <f t="shared" si="109"/>
        <v/>
      </c>
      <c r="S193" s="633" t="str">
        <f t="shared" si="87"/>
        <v/>
      </c>
      <c r="T193" s="632" t="str">
        <f t="shared" si="88"/>
        <v/>
      </c>
      <c r="U193" s="636" t="str">
        <f t="shared" si="89"/>
        <v/>
      </c>
      <c r="V193" s="637" t="str">
        <f t="shared" si="90"/>
        <v/>
      </c>
      <c r="W193" s="633" t="str">
        <f t="shared" si="91"/>
        <v/>
      </c>
      <c r="X193" s="632" t="str">
        <f t="shared" si="92"/>
        <v/>
      </c>
      <c r="Y193" s="634" t="str">
        <f t="shared" si="93"/>
        <v/>
      </c>
      <c r="Z193" s="635" t="str">
        <f t="shared" si="94"/>
        <v/>
      </c>
      <c r="AA193" s="633" t="str">
        <f t="shared" si="95"/>
        <v/>
      </c>
      <c r="AB193" s="632" t="str">
        <f t="shared" si="96"/>
        <v/>
      </c>
      <c r="AC193" s="634" t="str">
        <f t="shared" si="97"/>
        <v/>
      </c>
      <c r="AD193" s="635" t="str">
        <f t="shared" si="98"/>
        <v/>
      </c>
      <c r="AE193" s="633" t="str">
        <f t="shared" si="99"/>
        <v/>
      </c>
      <c r="AF193" s="632" t="str">
        <f t="shared" si="100"/>
        <v/>
      </c>
      <c r="AG193" s="636" t="str">
        <f t="shared" si="101"/>
        <v/>
      </c>
      <c r="AH193" s="637" t="str">
        <f t="shared" si="102"/>
        <v/>
      </c>
      <c r="AI193" s="633" t="str">
        <f t="shared" si="103"/>
        <v/>
      </c>
      <c r="AJ193" s="632" t="str">
        <f t="shared" si="104"/>
        <v/>
      </c>
      <c r="AK193" s="634" t="str">
        <f t="shared" si="105"/>
        <v/>
      </c>
      <c r="AL193" s="635" t="str">
        <f t="shared" si="106"/>
        <v/>
      </c>
      <c r="AM193" s="645" t="str">
        <f t="shared" si="107"/>
        <v/>
      </c>
      <c r="AN193" s="38"/>
    </row>
    <row r="194" spans="1:40" ht="13.2" x14ac:dyDescent="0.25">
      <c r="A194" s="26"/>
      <c r="B194" s="38"/>
      <c r="C194" s="261" t="s">
        <v>207</v>
      </c>
      <c r="D194" s="644" t="str">
        <f t="shared" si="82"/>
        <v/>
      </c>
      <c r="E194" s="635" t="str">
        <f t="shared" si="82"/>
        <v/>
      </c>
      <c r="F194" s="357"/>
      <c r="G194" s="357"/>
      <c r="H194" s="357"/>
      <c r="I194" s="357"/>
      <c r="J194" s="357"/>
      <c r="K194" s="357"/>
      <c r="L194" s="357"/>
      <c r="M194" s="38"/>
      <c r="N194" s="632" t="str">
        <f t="shared" si="84"/>
        <v/>
      </c>
      <c r="O194" s="633" t="str">
        <f t="shared" si="85"/>
        <v/>
      </c>
      <c r="P194" s="632" t="str">
        <f t="shared" si="108"/>
        <v/>
      </c>
      <c r="Q194" s="634" t="str">
        <f t="shared" si="86"/>
        <v/>
      </c>
      <c r="R194" s="635" t="str">
        <f t="shared" si="109"/>
        <v/>
      </c>
      <c r="S194" s="633" t="str">
        <f t="shared" si="87"/>
        <v/>
      </c>
      <c r="T194" s="632" t="str">
        <f t="shared" si="88"/>
        <v/>
      </c>
      <c r="U194" s="636" t="str">
        <f t="shared" si="89"/>
        <v/>
      </c>
      <c r="V194" s="637" t="str">
        <f t="shared" si="90"/>
        <v/>
      </c>
      <c r="W194" s="633" t="str">
        <f t="shared" si="91"/>
        <v/>
      </c>
      <c r="X194" s="632" t="str">
        <f t="shared" si="92"/>
        <v/>
      </c>
      <c r="Y194" s="634" t="str">
        <f t="shared" si="93"/>
        <v/>
      </c>
      <c r="Z194" s="635" t="str">
        <f t="shared" si="94"/>
        <v/>
      </c>
      <c r="AA194" s="633" t="str">
        <f t="shared" si="95"/>
        <v/>
      </c>
      <c r="AB194" s="632" t="str">
        <f t="shared" si="96"/>
        <v/>
      </c>
      <c r="AC194" s="634" t="str">
        <f t="shared" si="97"/>
        <v/>
      </c>
      <c r="AD194" s="635" t="str">
        <f t="shared" si="98"/>
        <v/>
      </c>
      <c r="AE194" s="633" t="str">
        <f t="shared" si="99"/>
        <v/>
      </c>
      <c r="AF194" s="632" t="str">
        <f t="shared" si="100"/>
        <v/>
      </c>
      <c r="AG194" s="636" t="str">
        <f t="shared" si="101"/>
        <v/>
      </c>
      <c r="AH194" s="637" t="str">
        <f t="shared" si="102"/>
        <v/>
      </c>
      <c r="AI194" s="633" t="str">
        <f t="shared" si="103"/>
        <v/>
      </c>
      <c r="AJ194" s="632" t="str">
        <f t="shared" si="104"/>
        <v/>
      </c>
      <c r="AK194" s="634" t="str">
        <f t="shared" si="105"/>
        <v/>
      </c>
      <c r="AL194" s="635" t="str">
        <f t="shared" si="106"/>
        <v/>
      </c>
      <c r="AM194" s="645" t="str">
        <f t="shared" si="107"/>
        <v/>
      </c>
      <c r="AN194" s="38"/>
    </row>
    <row r="195" spans="1:40" ht="13.2" x14ac:dyDescent="0.25">
      <c r="A195" s="26"/>
      <c r="B195" s="38"/>
      <c r="C195" s="261" t="s">
        <v>207</v>
      </c>
      <c r="D195" s="644" t="str">
        <f t="shared" si="82"/>
        <v/>
      </c>
      <c r="E195" s="635" t="str">
        <f t="shared" si="82"/>
        <v/>
      </c>
      <c r="F195" s="357"/>
      <c r="G195" s="357"/>
      <c r="H195" s="357"/>
      <c r="I195" s="357"/>
      <c r="J195" s="357"/>
      <c r="K195" s="357"/>
      <c r="L195" s="357"/>
      <c r="M195" s="38"/>
      <c r="N195" s="632" t="str">
        <f t="shared" si="84"/>
        <v/>
      </c>
      <c r="O195" s="633" t="str">
        <f t="shared" si="85"/>
        <v/>
      </c>
      <c r="P195" s="632" t="str">
        <f t="shared" si="108"/>
        <v/>
      </c>
      <c r="Q195" s="634" t="str">
        <f t="shared" si="86"/>
        <v/>
      </c>
      <c r="R195" s="635" t="str">
        <f t="shared" si="109"/>
        <v/>
      </c>
      <c r="S195" s="633" t="str">
        <f t="shared" si="87"/>
        <v/>
      </c>
      <c r="T195" s="632" t="str">
        <f t="shared" si="88"/>
        <v/>
      </c>
      <c r="U195" s="636" t="str">
        <f t="shared" si="89"/>
        <v/>
      </c>
      <c r="V195" s="637" t="str">
        <f t="shared" si="90"/>
        <v/>
      </c>
      <c r="W195" s="633" t="str">
        <f t="shared" si="91"/>
        <v/>
      </c>
      <c r="X195" s="632" t="str">
        <f t="shared" si="92"/>
        <v/>
      </c>
      <c r="Y195" s="634" t="str">
        <f t="shared" si="93"/>
        <v/>
      </c>
      <c r="Z195" s="635" t="str">
        <f t="shared" si="94"/>
        <v/>
      </c>
      <c r="AA195" s="633" t="str">
        <f t="shared" si="95"/>
        <v/>
      </c>
      <c r="AB195" s="632" t="str">
        <f t="shared" si="96"/>
        <v/>
      </c>
      <c r="AC195" s="634" t="str">
        <f t="shared" si="97"/>
        <v/>
      </c>
      <c r="AD195" s="635" t="str">
        <f t="shared" si="98"/>
        <v/>
      </c>
      <c r="AE195" s="633" t="str">
        <f t="shared" si="99"/>
        <v/>
      </c>
      <c r="AF195" s="632" t="str">
        <f t="shared" si="100"/>
        <v/>
      </c>
      <c r="AG195" s="636" t="str">
        <f t="shared" si="101"/>
        <v/>
      </c>
      <c r="AH195" s="637" t="str">
        <f t="shared" si="102"/>
        <v/>
      </c>
      <c r="AI195" s="633" t="str">
        <f t="shared" si="103"/>
        <v/>
      </c>
      <c r="AJ195" s="632" t="str">
        <f t="shared" si="104"/>
        <v/>
      </c>
      <c r="AK195" s="634" t="str">
        <f t="shared" si="105"/>
        <v/>
      </c>
      <c r="AL195" s="635" t="str">
        <f t="shared" si="106"/>
        <v/>
      </c>
      <c r="AM195" s="645" t="str">
        <f t="shared" si="107"/>
        <v/>
      </c>
      <c r="AN195" s="38"/>
    </row>
    <row r="196" spans="1:40" ht="13.2" x14ac:dyDescent="0.25">
      <c r="A196" s="26"/>
      <c r="B196" s="38"/>
      <c r="C196" s="261" t="s">
        <v>207</v>
      </c>
      <c r="D196" s="644" t="str">
        <f t="shared" si="82"/>
        <v/>
      </c>
      <c r="E196" s="635" t="str">
        <f t="shared" si="82"/>
        <v/>
      </c>
      <c r="F196" s="357"/>
      <c r="G196" s="357"/>
      <c r="H196" s="357"/>
      <c r="I196" s="357"/>
      <c r="J196" s="357"/>
      <c r="K196" s="357"/>
      <c r="L196" s="357"/>
      <c r="M196" s="38"/>
      <c r="N196" s="632" t="str">
        <f t="shared" si="84"/>
        <v/>
      </c>
      <c r="O196" s="633" t="str">
        <f t="shared" si="85"/>
        <v/>
      </c>
      <c r="P196" s="632" t="str">
        <f t="shared" si="108"/>
        <v/>
      </c>
      <c r="Q196" s="634" t="str">
        <f t="shared" si="86"/>
        <v/>
      </c>
      <c r="R196" s="635" t="str">
        <f t="shared" si="109"/>
        <v/>
      </c>
      <c r="S196" s="633" t="str">
        <f t="shared" si="87"/>
        <v/>
      </c>
      <c r="T196" s="632" t="str">
        <f t="shared" si="88"/>
        <v/>
      </c>
      <c r="U196" s="636" t="str">
        <f t="shared" si="89"/>
        <v/>
      </c>
      <c r="V196" s="637" t="str">
        <f t="shared" si="90"/>
        <v/>
      </c>
      <c r="W196" s="633" t="str">
        <f t="shared" si="91"/>
        <v/>
      </c>
      <c r="X196" s="632" t="str">
        <f t="shared" si="92"/>
        <v/>
      </c>
      <c r="Y196" s="634" t="str">
        <f t="shared" si="93"/>
        <v/>
      </c>
      <c r="Z196" s="635" t="str">
        <f t="shared" si="94"/>
        <v/>
      </c>
      <c r="AA196" s="633" t="str">
        <f t="shared" si="95"/>
        <v/>
      </c>
      <c r="AB196" s="632" t="str">
        <f t="shared" si="96"/>
        <v/>
      </c>
      <c r="AC196" s="634" t="str">
        <f t="shared" si="97"/>
        <v/>
      </c>
      <c r="AD196" s="635" t="str">
        <f t="shared" si="98"/>
        <v/>
      </c>
      <c r="AE196" s="633" t="str">
        <f t="shared" si="99"/>
        <v/>
      </c>
      <c r="AF196" s="632" t="str">
        <f t="shared" si="100"/>
        <v/>
      </c>
      <c r="AG196" s="636" t="str">
        <f t="shared" si="101"/>
        <v/>
      </c>
      <c r="AH196" s="637" t="str">
        <f t="shared" si="102"/>
        <v/>
      </c>
      <c r="AI196" s="633" t="str">
        <f t="shared" si="103"/>
        <v/>
      </c>
      <c r="AJ196" s="632" t="str">
        <f t="shared" si="104"/>
        <v/>
      </c>
      <c r="AK196" s="634" t="str">
        <f t="shared" si="105"/>
        <v/>
      </c>
      <c r="AL196" s="635" t="str">
        <f t="shared" si="106"/>
        <v/>
      </c>
      <c r="AM196" s="645" t="str">
        <f t="shared" si="107"/>
        <v/>
      </c>
      <c r="AN196" s="38"/>
    </row>
    <row r="197" spans="1:40" ht="13.2" x14ac:dyDescent="0.25">
      <c r="A197" s="26"/>
      <c r="B197" s="38"/>
      <c r="C197" s="261" t="s">
        <v>207</v>
      </c>
      <c r="D197" s="644" t="str">
        <f t="shared" si="82"/>
        <v/>
      </c>
      <c r="E197" s="635" t="str">
        <f t="shared" si="82"/>
        <v/>
      </c>
      <c r="F197" s="357"/>
      <c r="G197" s="357"/>
      <c r="H197" s="357"/>
      <c r="I197" s="357"/>
      <c r="J197" s="357"/>
      <c r="K197" s="357"/>
      <c r="L197" s="357"/>
      <c r="M197" s="38"/>
      <c r="N197" s="632" t="str">
        <f t="shared" si="84"/>
        <v/>
      </c>
      <c r="O197" s="633" t="str">
        <f t="shared" si="85"/>
        <v/>
      </c>
      <c r="P197" s="632" t="str">
        <f t="shared" si="108"/>
        <v/>
      </c>
      <c r="Q197" s="634" t="str">
        <f t="shared" si="86"/>
        <v/>
      </c>
      <c r="R197" s="635" t="str">
        <f t="shared" si="109"/>
        <v/>
      </c>
      <c r="S197" s="633" t="str">
        <f t="shared" si="87"/>
        <v/>
      </c>
      <c r="T197" s="632" t="str">
        <f t="shared" si="88"/>
        <v/>
      </c>
      <c r="U197" s="636" t="str">
        <f t="shared" si="89"/>
        <v/>
      </c>
      <c r="V197" s="637" t="str">
        <f t="shared" si="90"/>
        <v/>
      </c>
      <c r="W197" s="633" t="str">
        <f t="shared" si="91"/>
        <v/>
      </c>
      <c r="X197" s="632" t="str">
        <f t="shared" si="92"/>
        <v/>
      </c>
      <c r="Y197" s="634" t="str">
        <f t="shared" si="93"/>
        <v/>
      </c>
      <c r="Z197" s="635" t="str">
        <f t="shared" si="94"/>
        <v/>
      </c>
      <c r="AA197" s="633" t="str">
        <f t="shared" si="95"/>
        <v/>
      </c>
      <c r="AB197" s="632" t="str">
        <f t="shared" si="96"/>
        <v/>
      </c>
      <c r="AC197" s="634" t="str">
        <f t="shared" si="97"/>
        <v/>
      </c>
      <c r="AD197" s="635" t="str">
        <f t="shared" si="98"/>
        <v/>
      </c>
      <c r="AE197" s="633" t="str">
        <f t="shared" si="99"/>
        <v/>
      </c>
      <c r="AF197" s="632" t="str">
        <f t="shared" si="100"/>
        <v/>
      </c>
      <c r="AG197" s="636" t="str">
        <f t="shared" si="101"/>
        <v/>
      </c>
      <c r="AH197" s="637" t="str">
        <f t="shared" si="102"/>
        <v/>
      </c>
      <c r="AI197" s="633" t="str">
        <f t="shared" si="103"/>
        <v/>
      </c>
      <c r="AJ197" s="632" t="str">
        <f t="shared" si="104"/>
        <v/>
      </c>
      <c r="AK197" s="634" t="str">
        <f t="shared" si="105"/>
        <v/>
      </c>
      <c r="AL197" s="635" t="str">
        <f t="shared" si="106"/>
        <v/>
      </c>
      <c r="AM197" s="645" t="str">
        <f t="shared" si="107"/>
        <v/>
      </c>
      <c r="AN197" s="38"/>
    </row>
    <row r="198" spans="1:40" ht="13.2" x14ac:dyDescent="0.25">
      <c r="A198" s="26"/>
      <c r="B198" s="38"/>
      <c r="C198" s="261" t="s">
        <v>207</v>
      </c>
      <c r="D198" s="644" t="str">
        <f t="shared" si="82"/>
        <v/>
      </c>
      <c r="E198" s="635" t="str">
        <f t="shared" si="82"/>
        <v/>
      </c>
      <c r="F198" s="357"/>
      <c r="G198" s="357"/>
      <c r="H198" s="357"/>
      <c r="I198" s="357"/>
      <c r="J198" s="357"/>
      <c r="K198" s="357"/>
      <c r="L198" s="357"/>
      <c r="M198" s="38"/>
      <c r="N198" s="632" t="str">
        <f t="shared" si="84"/>
        <v/>
      </c>
      <c r="O198" s="633" t="str">
        <f t="shared" si="85"/>
        <v/>
      </c>
      <c r="P198" s="632" t="str">
        <f t="shared" si="108"/>
        <v/>
      </c>
      <c r="Q198" s="634" t="str">
        <f t="shared" si="86"/>
        <v/>
      </c>
      <c r="R198" s="635" t="str">
        <f t="shared" si="109"/>
        <v/>
      </c>
      <c r="S198" s="633" t="str">
        <f t="shared" si="87"/>
        <v/>
      </c>
      <c r="T198" s="632" t="str">
        <f t="shared" si="88"/>
        <v/>
      </c>
      <c r="U198" s="636" t="str">
        <f t="shared" si="89"/>
        <v/>
      </c>
      <c r="V198" s="637" t="str">
        <f t="shared" si="90"/>
        <v/>
      </c>
      <c r="W198" s="633" t="str">
        <f t="shared" si="91"/>
        <v/>
      </c>
      <c r="X198" s="632" t="str">
        <f t="shared" si="92"/>
        <v/>
      </c>
      <c r="Y198" s="634" t="str">
        <f t="shared" si="93"/>
        <v/>
      </c>
      <c r="Z198" s="635" t="str">
        <f t="shared" si="94"/>
        <v/>
      </c>
      <c r="AA198" s="633" t="str">
        <f t="shared" si="95"/>
        <v/>
      </c>
      <c r="AB198" s="632" t="str">
        <f t="shared" si="96"/>
        <v/>
      </c>
      <c r="AC198" s="634" t="str">
        <f t="shared" si="97"/>
        <v/>
      </c>
      <c r="AD198" s="635" t="str">
        <f t="shared" si="98"/>
        <v/>
      </c>
      <c r="AE198" s="633" t="str">
        <f t="shared" si="99"/>
        <v/>
      </c>
      <c r="AF198" s="632" t="str">
        <f t="shared" si="100"/>
        <v/>
      </c>
      <c r="AG198" s="636" t="str">
        <f t="shared" si="101"/>
        <v/>
      </c>
      <c r="AH198" s="637" t="str">
        <f t="shared" si="102"/>
        <v/>
      </c>
      <c r="AI198" s="633" t="str">
        <f t="shared" si="103"/>
        <v/>
      </c>
      <c r="AJ198" s="632" t="str">
        <f t="shared" si="104"/>
        <v/>
      </c>
      <c r="AK198" s="634" t="str">
        <f t="shared" si="105"/>
        <v/>
      </c>
      <c r="AL198" s="635" t="str">
        <f t="shared" si="106"/>
        <v/>
      </c>
      <c r="AM198" s="645" t="str">
        <f t="shared" si="107"/>
        <v/>
      </c>
      <c r="AN198" s="38"/>
    </row>
    <row r="199" spans="1:40" ht="13.2" x14ac:dyDescent="0.25">
      <c r="A199" s="26"/>
      <c r="B199" s="38"/>
      <c r="C199" s="261" t="s">
        <v>207</v>
      </c>
      <c r="D199" s="644" t="str">
        <f t="shared" si="82"/>
        <v/>
      </c>
      <c r="E199" s="635" t="str">
        <f t="shared" si="82"/>
        <v/>
      </c>
      <c r="F199" s="357"/>
      <c r="G199" s="357"/>
      <c r="H199" s="357"/>
      <c r="I199" s="357"/>
      <c r="J199" s="357"/>
      <c r="K199" s="357"/>
      <c r="L199" s="357"/>
      <c r="M199" s="38"/>
      <c r="N199" s="632" t="str">
        <f t="shared" si="84"/>
        <v/>
      </c>
      <c r="O199" s="633" t="str">
        <f t="shared" si="85"/>
        <v/>
      </c>
      <c r="P199" s="632" t="str">
        <f t="shared" si="108"/>
        <v/>
      </c>
      <c r="Q199" s="634" t="str">
        <f t="shared" si="86"/>
        <v/>
      </c>
      <c r="R199" s="635" t="str">
        <f t="shared" si="109"/>
        <v/>
      </c>
      <c r="S199" s="633" t="str">
        <f t="shared" si="87"/>
        <v/>
      </c>
      <c r="T199" s="632" t="str">
        <f t="shared" si="88"/>
        <v/>
      </c>
      <c r="U199" s="636" t="str">
        <f t="shared" si="89"/>
        <v/>
      </c>
      <c r="V199" s="637" t="str">
        <f t="shared" si="90"/>
        <v/>
      </c>
      <c r="W199" s="633" t="str">
        <f t="shared" si="91"/>
        <v/>
      </c>
      <c r="X199" s="632" t="str">
        <f t="shared" si="92"/>
        <v/>
      </c>
      <c r="Y199" s="634" t="str">
        <f t="shared" si="93"/>
        <v/>
      </c>
      <c r="Z199" s="635" t="str">
        <f t="shared" si="94"/>
        <v/>
      </c>
      <c r="AA199" s="633" t="str">
        <f t="shared" si="95"/>
        <v/>
      </c>
      <c r="AB199" s="632" t="str">
        <f t="shared" si="96"/>
        <v/>
      </c>
      <c r="AC199" s="634" t="str">
        <f t="shared" si="97"/>
        <v/>
      </c>
      <c r="AD199" s="635" t="str">
        <f t="shared" si="98"/>
        <v/>
      </c>
      <c r="AE199" s="633" t="str">
        <f t="shared" si="99"/>
        <v/>
      </c>
      <c r="AF199" s="632" t="str">
        <f t="shared" si="100"/>
        <v/>
      </c>
      <c r="AG199" s="636" t="str">
        <f t="shared" si="101"/>
        <v/>
      </c>
      <c r="AH199" s="637" t="str">
        <f t="shared" si="102"/>
        <v/>
      </c>
      <c r="AI199" s="633" t="str">
        <f t="shared" si="103"/>
        <v/>
      </c>
      <c r="AJ199" s="632" t="str">
        <f t="shared" si="104"/>
        <v/>
      </c>
      <c r="AK199" s="634" t="str">
        <f t="shared" si="105"/>
        <v/>
      </c>
      <c r="AL199" s="635" t="str">
        <f t="shared" si="106"/>
        <v/>
      </c>
      <c r="AM199" s="645" t="str">
        <f t="shared" si="107"/>
        <v/>
      </c>
      <c r="AN199" s="38"/>
    </row>
    <row r="200" spans="1:40" ht="13.2" x14ac:dyDescent="0.25">
      <c r="A200" s="26"/>
      <c r="B200" s="38"/>
      <c r="C200" s="261" t="s">
        <v>207</v>
      </c>
      <c r="D200" s="644" t="str">
        <f t="shared" si="82"/>
        <v/>
      </c>
      <c r="E200" s="635" t="str">
        <f t="shared" si="82"/>
        <v/>
      </c>
      <c r="F200" s="357"/>
      <c r="G200" s="357"/>
      <c r="H200" s="357"/>
      <c r="I200" s="357"/>
      <c r="J200" s="357"/>
      <c r="K200" s="357"/>
      <c r="L200" s="357"/>
      <c r="M200" s="38"/>
      <c r="N200" s="632" t="str">
        <f t="shared" si="84"/>
        <v/>
      </c>
      <c r="O200" s="633" t="str">
        <f t="shared" si="85"/>
        <v/>
      </c>
      <c r="P200" s="632" t="str">
        <f t="shared" si="108"/>
        <v/>
      </c>
      <c r="Q200" s="634" t="str">
        <f t="shared" si="86"/>
        <v/>
      </c>
      <c r="R200" s="635" t="str">
        <f t="shared" si="109"/>
        <v/>
      </c>
      <c r="S200" s="633" t="str">
        <f t="shared" si="87"/>
        <v/>
      </c>
      <c r="T200" s="632" t="str">
        <f t="shared" si="88"/>
        <v/>
      </c>
      <c r="U200" s="636" t="str">
        <f t="shared" si="89"/>
        <v/>
      </c>
      <c r="V200" s="637" t="str">
        <f t="shared" si="90"/>
        <v/>
      </c>
      <c r="W200" s="633" t="str">
        <f t="shared" si="91"/>
        <v/>
      </c>
      <c r="X200" s="632" t="str">
        <f t="shared" si="92"/>
        <v/>
      </c>
      <c r="Y200" s="634" t="str">
        <f t="shared" si="93"/>
        <v/>
      </c>
      <c r="Z200" s="635" t="str">
        <f t="shared" si="94"/>
        <v/>
      </c>
      <c r="AA200" s="633" t="str">
        <f t="shared" si="95"/>
        <v/>
      </c>
      <c r="AB200" s="632" t="str">
        <f t="shared" si="96"/>
        <v/>
      </c>
      <c r="AC200" s="634" t="str">
        <f t="shared" si="97"/>
        <v/>
      </c>
      <c r="AD200" s="635" t="str">
        <f t="shared" si="98"/>
        <v/>
      </c>
      <c r="AE200" s="633" t="str">
        <f t="shared" si="99"/>
        <v/>
      </c>
      <c r="AF200" s="632" t="str">
        <f t="shared" si="100"/>
        <v/>
      </c>
      <c r="AG200" s="636" t="str">
        <f t="shared" si="101"/>
        <v/>
      </c>
      <c r="AH200" s="637" t="str">
        <f t="shared" si="102"/>
        <v/>
      </c>
      <c r="AI200" s="633" t="str">
        <f t="shared" si="103"/>
        <v/>
      </c>
      <c r="AJ200" s="632" t="str">
        <f t="shared" si="104"/>
        <v/>
      </c>
      <c r="AK200" s="634" t="str">
        <f t="shared" si="105"/>
        <v/>
      </c>
      <c r="AL200" s="635" t="str">
        <f t="shared" si="106"/>
        <v/>
      </c>
      <c r="AM200" s="645" t="str">
        <f t="shared" si="107"/>
        <v/>
      </c>
      <c r="AN200" s="38"/>
    </row>
    <row r="201" spans="1:40" ht="13.2" x14ac:dyDescent="0.25">
      <c r="A201" s="26"/>
      <c r="B201" s="38"/>
      <c r="C201" s="261" t="s">
        <v>207</v>
      </c>
      <c r="D201" s="644" t="str">
        <f t="shared" si="82"/>
        <v/>
      </c>
      <c r="E201" s="635" t="str">
        <f t="shared" si="82"/>
        <v/>
      </c>
      <c r="F201" s="357"/>
      <c r="G201" s="357"/>
      <c r="H201" s="357"/>
      <c r="I201" s="357"/>
      <c r="J201" s="357"/>
      <c r="K201" s="357"/>
      <c r="L201" s="357"/>
      <c r="M201" s="38"/>
      <c r="N201" s="632" t="str">
        <f t="shared" si="84"/>
        <v/>
      </c>
      <c r="O201" s="633" t="str">
        <f t="shared" si="85"/>
        <v/>
      </c>
      <c r="P201" s="632" t="str">
        <f t="shared" si="108"/>
        <v/>
      </c>
      <c r="Q201" s="634" t="str">
        <f t="shared" si="86"/>
        <v/>
      </c>
      <c r="R201" s="635" t="str">
        <f t="shared" si="109"/>
        <v/>
      </c>
      <c r="S201" s="633" t="str">
        <f t="shared" si="87"/>
        <v/>
      </c>
      <c r="T201" s="632" t="str">
        <f t="shared" si="88"/>
        <v/>
      </c>
      <c r="U201" s="636" t="str">
        <f t="shared" si="89"/>
        <v/>
      </c>
      <c r="V201" s="637" t="str">
        <f t="shared" si="90"/>
        <v/>
      </c>
      <c r="W201" s="633" t="str">
        <f t="shared" si="91"/>
        <v/>
      </c>
      <c r="X201" s="632" t="str">
        <f t="shared" si="92"/>
        <v/>
      </c>
      <c r="Y201" s="634" t="str">
        <f t="shared" si="93"/>
        <v/>
      </c>
      <c r="Z201" s="635" t="str">
        <f t="shared" si="94"/>
        <v/>
      </c>
      <c r="AA201" s="633" t="str">
        <f t="shared" si="95"/>
        <v/>
      </c>
      <c r="AB201" s="632" t="str">
        <f t="shared" si="96"/>
        <v/>
      </c>
      <c r="AC201" s="634" t="str">
        <f t="shared" si="97"/>
        <v/>
      </c>
      <c r="AD201" s="635" t="str">
        <f t="shared" si="98"/>
        <v/>
      </c>
      <c r="AE201" s="633" t="str">
        <f t="shared" si="99"/>
        <v/>
      </c>
      <c r="AF201" s="632" t="str">
        <f t="shared" si="100"/>
        <v/>
      </c>
      <c r="AG201" s="636" t="str">
        <f t="shared" si="101"/>
        <v/>
      </c>
      <c r="AH201" s="637" t="str">
        <f t="shared" si="102"/>
        <v/>
      </c>
      <c r="AI201" s="633" t="str">
        <f t="shared" si="103"/>
        <v/>
      </c>
      <c r="AJ201" s="632" t="str">
        <f t="shared" si="104"/>
        <v/>
      </c>
      <c r="AK201" s="634" t="str">
        <f t="shared" si="105"/>
        <v/>
      </c>
      <c r="AL201" s="635" t="str">
        <f t="shared" si="106"/>
        <v/>
      </c>
      <c r="AM201" s="645" t="str">
        <f t="shared" si="107"/>
        <v/>
      </c>
      <c r="AN201" s="38"/>
    </row>
    <row r="202" spans="1:40" ht="13.2" x14ac:dyDescent="0.25">
      <c r="A202" s="26"/>
      <c r="B202" s="38"/>
      <c r="C202" s="261" t="s">
        <v>207</v>
      </c>
      <c r="D202" s="644" t="str">
        <f t="shared" si="82"/>
        <v/>
      </c>
      <c r="E202" s="635" t="str">
        <f t="shared" si="82"/>
        <v/>
      </c>
      <c r="F202" s="357"/>
      <c r="G202" s="357"/>
      <c r="H202" s="357"/>
      <c r="I202" s="357"/>
      <c r="J202" s="357"/>
      <c r="K202" s="357"/>
      <c r="L202" s="357"/>
      <c r="M202" s="38"/>
      <c r="N202" s="632" t="str">
        <f t="shared" si="84"/>
        <v/>
      </c>
      <c r="O202" s="633" t="str">
        <f t="shared" si="85"/>
        <v/>
      </c>
      <c r="P202" s="632" t="str">
        <f t="shared" si="108"/>
        <v/>
      </c>
      <c r="Q202" s="634" t="str">
        <f t="shared" si="86"/>
        <v/>
      </c>
      <c r="R202" s="635" t="str">
        <f t="shared" si="109"/>
        <v/>
      </c>
      <c r="S202" s="633" t="str">
        <f t="shared" si="87"/>
        <v/>
      </c>
      <c r="T202" s="632" t="str">
        <f t="shared" si="88"/>
        <v/>
      </c>
      <c r="U202" s="636" t="str">
        <f t="shared" si="89"/>
        <v/>
      </c>
      <c r="V202" s="637" t="str">
        <f t="shared" si="90"/>
        <v/>
      </c>
      <c r="W202" s="633" t="str">
        <f t="shared" si="91"/>
        <v/>
      </c>
      <c r="X202" s="632" t="str">
        <f t="shared" si="92"/>
        <v/>
      </c>
      <c r="Y202" s="634" t="str">
        <f t="shared" si="93"/>
        <v/>
      </c>
      <c r="Z202" s="635" t="str">
        <f t="shared" si="94"/>
        <v/>
      </c>
      <c r="AA202" s="633" t="str">
        <f t="shared" si="95"/>
        <v/>
      </c>
      <c r="AB202" s="632" t="str">
        <f t="shared" si="96"/>
        <v/>
      </c>
      <c r="AC202" s="634" t="str">
        <f t="shared" si="97"/>
        <v/>
      </c>
      <c r="AD202" s="635" t="str">
        <f t="shared" si="98"/>
        <v/>
      </c>
      <c r="AE202" s="633" t="str">
        <f t="shared" si="99"/>
        <v/>
      </c>
      <c r="AF202" s="632" t="str">
        <f t="shared" si="100"/>
        <v/>
      </c>
      <c r="AG202" s="636" t="str">
        <f t="shared" si="101"/>
        <v/>
      </c>
      <c r="AH202" s="637" t="str">
        <f t="shared" si="102"/>
        <v/>
      </c>
      <c r="AI202" s="633" t="str">
        <f t="shared" si="103"/>
        <v/>
      </c>
      <c r="AJ202" s="632" t="str">
        <f t="shared" si="104"/>
        <v/>
      </c>
      <c r="AK202" s="634" t="str">
        <f t="shared" si="105"/>
        <v/>
      </c>
      <c r="AL202" s="635" t="str">
        <f t="shared" si="106"/>
        <v/>
      </c>
      <c r="AM202" s="645" t="str">
        <f t="shared" si="107"/>
        <v/>
      </c>
      <c r="AN202" s="38"/>
    </row>
    <row r="203" spans="1:40" ht="13.2" x14ac:dyDescent="0.25">
      <c r="A203" s="26"/>
      <c r="B203" s="38"/>
      <c r="C203" s="261" t="s">
        <v>207</v>
      </c>
      <c r="D203" s="644" t="str">
        <f t="shared" si="82"/>
        <v/>
      </c>
      <c r="E203" s="635" t="str">
        <f t="shared" si="82"/>
        <v/>
      </c>
      <c r="F203" s="357"/>
      <c r="G203" s="357"/>
      <c r="H203" s="357"/>
      <c r="I203" s="357"/>
      <c r="J203" s="357"/>
      <c r="K203" s="357"/>
      <c r="L203" s="357"/>
      <c r="M203" s="38"/>
      <c r="N203" s="632" t="str">
        <f t="shared" si="84"/>
        <v/>
      </c>
      <c r="O203" s="633" t="str">
        <f t="shared" si="85"/>
        <v/>
      </c>
      <c r="P203" s="632" t="str">
        <f t="shared" si="108"/>
        <v/>
      </c>
      <c r="Q203" s="634" t="str">
        <f t="shared" si="86"/>
        <v/>
      </c>
      <c r="R203" s="635" t="str">
        <f t="shared" si="109"/>
        <v/>
      </c>
      <c r="S203" s="633" t="str">
        <f t="shared" si="87"/>
        <v/>
      </c>
      <c r="T203" s="632" t="str">
        <f t="shared" si="88"/>
        <v/>
      </c>
      <c r="U203" s="636" t="str">
        <f t="shared" si="89"/>
        <v/>
      </c>
      <c r="V203" s="637" t="str">
        <f t="shared" si="90"/>
        <v/>
      </c>
      <c r="W203" s="633" t="str">
        <f t="shared" si="91"/>
        <v/>
      </c>
      <c r="X203" s="632" t="str">
        <f t="shared" si="92"/>
        <v/>
      </c>
      <c r="Y203" s="634" t="str">
        <f t="shared" si="93"/>
        <v/>
      </c>
      <c r="Z203" s="635" t="str">
        <f t="shared" si="94"/>
        <v/>
      </c>
      <c r="AA203" s="633" t="str">
        <f t="shared" si="95"/>
        <v/>
      </c>
      <c r="AB203" s="632" t="str">
        <f t="shared" si="96"/>
        <v/>
      </c>
      <c r="AC203" s="634" t="str">
        <f t="shared" si="97"/>
        <v/>
      </c>
      <c r="AD203" s="635" t="str">
        <f t="shared" si="98"/>
        <v/>
      </c>
      <c r="AE203" s="633" t="str">
        <f t="shared" si="99"/>
        <v/>
      </c>
      <c r="AF203" s="632" t="str">
        <f t="shared" si="100"/>
        <v/>
      </c>
      <c r="AG203" s="636" t="str">
        <f t="shared" si="101"/>
        <v/>
      </c>
      <c r="AH203" s="637" t="str">
        <f t="shared" si="102"/>
        <v/>
      </c>
      <c r="AI203" s="633" t="str">
        <f t="shared" si="103"/>
        <v/>
      </c>
      <c r="AJ203" s="632" t="str">
        <f t="shared" si="104"/>
        <v/>
      </c>
      <c r="AK203" s="634" t="str">
        <f t="shared" si="105"/>
        <v/>
      </c>
      <c r="AL203" s="635" t="str">
        <f t="shared" si="106"/>
        <v/>
      </c>
      <c r="AM203" s="645" t="str">
        <f t="shared" si="107"/>
        <v/>
      </c>
      <c r="AN203" s="38"/>
    </row>
    <row r="204" spans="1:40" ht="13.2" x14ac:dyDescent="0.25">
      <c r="A204" s="26"/>
      <c r="B204" s="38"/>
      <c r="C204" s="261" t="s">
        <v>207</v>
      </c>
      <c r="D204" s="644" t="str">
        <f t="shared" si="82"/>
        <v/>
      </c>
      <c r="E204" s="635" t="str">
        <f t="shared" si="82"/>
        <v/>
      </c>
      <c r="F204" s="357"/>
      <c r="G204" s="357"/>
      <c r="H204" s="357"/>
      <c r="I204" s="357"/>
      <c r="J204" s="357"/>
      <c r="K204" s="357"/>
      <c r="L204" s="357"/>
      <c r="M204" s="38"/>
      <c r="N204" s="632" t="str">
        <f t="shared" si="84"/>
        <v/>
      </c>
      <c r="O204" s="633" t="str">
        <f t="shared" si="85"/>
        <v/>
      </c>
      <c r="P204" s="632" t="str">
        <f t="shared" si="108"/>
        <v/>
      </c>
      <c r="Q204" s="634" t="str">
        <f t="shared" si="86"/>
        <v/>
      </c>
      <c r="R204" s="635" t="str">
        <f t="shared" si="109"/>
        <v/>
      </c>
      <c r="S204" s="633" t="str">
        <f t="shared" si="87"/>
        <v/>
      </c>
      <c r="T204" s="632" t="str">
        <f t="shared" si="88"/>
        <v/>
      </c>
      <c r="U204" s="636" t="str">
        <f t="shared" si="89"/>
        <v/>
      </c>
      <c r="V204" s="637" t="str">
        <f t="shared" si="90"/>
        <v/>
      </c>
      <c r="W204" s="633" t="str">
        <f t="shared" si="91"/>
        <v/>
      </c>
      <c r="X204" s="632" t="str">
        <f t="shared" si="92"/>
        <v/>
      </c>
      <c r="Y204" s="634" t="str">
        <f t="shared" si="93"/>
        <v/>
      </c>
      <c r="Z204" s="635" t="str">
        <f t="shared" si="94"/>
        <v/>
      </c>
      <c r="AA204" s="633" t="str">
        <f t="shared" si="95"/>
        <v/>
      </c>
      <c r="AB204" s="632" t="str">
        <f t="shared" si="96"/>
        <v/>
      </c>
      <c r="AC204" s="634" t="str">
        <f t="shared" si="97"/>
        <v/>
      </c>
      <c r="AD204" s="635" t="str">
        <f t="shared" si="98"/>
        <v/>
      </c>
      <c r="AE204" s="633" t="str">
        <f t="shared" si="99"/>
        <v/>
      </c>
      <c r="AF204" s="632" t="str">
        <f t="shared" si="100"/>
        <v/>
      </c>
      <c r="AG204" s="636" t="str">
        <f t="shared" si="101"/>
        <v/>
      </c>
      <c r="AH204" s="637" t="str">
        <f t="shared" si="102"/>
        <v/>
      </c>
      <c r="AI204" s="633" t="str">
        <f t="shared" si="103"/>
        <v/>
      </c>
      <c r="AJ204" s="632" t="str">
        <f t="shared" si="104"/>
        <v/>
      </c>
      <c r="AK204" s="634" t="str">
        <f t="shared" si="105"/>
        <v/>
      </c>
      <c r="AL204" s="635" t="str">
        <f t="shared" si="106"/>
        <v/>
      </c>
      <c r="AM204" s="645" t="str">
        <f t="shared" si="107"/>
        <v/>
      </c>
      <c r="AN204" s="38"/>
    </row>
    <row r="205" spans="1:40" ht="13.2" x14ac:dyDescent="0.25">
      <c r="A205" s="26"/>
      <c r="B205" s="38"/>
      <c r="C205" s="261" t="s">
        <v>207</v>
      </c>
      <c r="D205" s="644" t="str">
        <f t="shared" si="82"/>
        <v/>
      </c>
      <c r="E205" s="635" t="str">
        <f t="shared" si="82"/>
        <v/>
      </c>
      <c r="F205" s="357"/>
      <c r="G205" s="357"/>
      <c r="H205" s="357"/>
      <c r="I205" s="357"/>
      <c r="J205" s="357"/>
      <c r="K205" s="357"/>
      <c r="L205" s="357"/>
      <c r="M205" s="38"/>
      <c r="N205" s="632" t="str">
        <f t="shared" si="84"/>
        <v/>
      </c>
      <c r="O205" s="633" t="str">
        <f t="shared" si="85"/>
        <v/>
      </c>
      <c r="P205" s="632" t="str">
        <f t="shared" si="108"/>
        <v/>
      </c>
      <c r="Q205" s="634" t="str">
        <f t="shared" si="86"/>
        <v/>
      </c>
      <c r="R205" s="635" t="str">
        <f t="shared" si="109"/>
        <v/>
      </c>
      <c r="S205" s="633" t="str">
        <f t="shared" si="87"/>
        <v/>
      </c>
      <c r="T205" s="632" t="str">
        <f t="shared" si="88"/>
        <v/>
      </c>
      <c r="U205" s="636" t="str">
        <f t="shared" si="89"/>
        <v/>
      </c>
      <c r="V205" s="637" t="str">
        <f t="shared" si="90"/>
        <v/>
      </c>
      <c r="W205" s="633" t="str">
        <f t="shared" si="91"/>
        <v/>
      </c>
      <c r="X205" s="632" t="str">
        <f t="shared" si="92"/>
        <v/>
      </c>
      <c r="Y205" s="634" t="str">
        <f t="shared" si="93"/>
        <v/>
      </c>
      <c r="Z205" s="635" t="str">
        <f t="shared" si="94"/>
        <v/>
      </c>
      <c r="AA205" s="633" t="str">
        <f t="shared" si="95"/>
        <v/>
      </c>
      <c r="AB205" s="632" t="str">
        <f t="shared" si="96"/>
        <v/>
      </c>
      <c r="AC205" s="634" t="str">
        <f t="shared" si="97"/>
        <v/>
      </c>
      <c r="AD205" s="635" t="str">
        <f t="shared" si="98"/>
        <v/>
      </c>
      <c r="AE205" s="633" t="str">
        <f t="shared" si="99"/>
        <v/>
      </c>
      <c r="AF205" s="632" t="str">
        <f t="shared" si="100"/>
        <v/>
      </c>
      <c r="AG205" s="636" t="str">
        <f t="shared" si="101"/>
        <v/>
      </c>
      <c r="AH205" s="637" t="str">
        <f t="shared" si="102"/>
        <v/>
      </c>
      <c r="AI205" s="633" t="str">
        <f t="shared" si="103"/>
        <v/>
      </c>
      <c r="AJ205" s="632" t="str">
        <f t="shared" si="104"/>
        <v/>
      </c>
      <c r="AK205" s="634" t="str">
        <f t="shared" si="105"/>
        <v/>
      </c>
      <c r="AL205" s="635" t="str">
        <f t="shared" si="106"/>
        <v/>
      </c>
      <c r="AM205" s="645" t="str">
        <f t="shared" si="107"/>
        <v/>
      </c>
      <c r="AN205" s="38"/>
    </row>
    <row r="206" spans="1:40" ht="13.2" x14ac:dyDescent="0.25">
      <c r="A206" s="26"/>
      <c r="B206" s="38"/>
      <c r="C206" s="261" t="s">
        <v>441</v>
      </c>
      <c r="D206" s="644" t="str">
        <f t="shared" si="82"/>
        <v/>
      </c>
      <c r="E206" s="635" t="str">
        <f t="shared" si="82"/>
        <v/>
      </c>
      <c r="F206" s="357"/>
      <c r="G206" s="357"/>
      <c r="H206" s="357"/>
      <c r="I206" s="357"/>
      <c r="J206" s="357"/>
      <c r="K206" s="357"/>
      <c r="L206" s="357"/>
      <c r="M206" s="38"/>
      <c r="N206" s="632" t="str">
        <f t="shared" si="84"/>
        <v/>
      </c>
      <c r="O206" s="633" t="str">
        <f t="shared" si="85"/>
        <v/>
      </c>
      <c r="P206" s="632" t="str">
        <f t="shared" si="108"/>
        <v/>
      </c>
      <c r="Q206" s="634" t="str">
        <f t="shared" si="86"/>
        <v/>
      </c>
      <c r="R206" s="635" t="str">
        <f t="shared" si="109"/>
        <v/>
      </c>
      <c r="S206" s="633" t="str">
        <f t="shared" si="87"/>
        <v/>
      </c>
      <c r="T206" s="632" t="str">
        <f t="shared" si="88"/>
        <v/>
      </c>
      <c r="U206" s="636" t="str">
        <f t="shared" si="89"/>
        <v/>
      </c>
      <c r="V206" s="637" t="str">
        <f t="shared" si="90"/>
        <v/>
      </c>
      <c r="W206" s="633" t="str">
        <f t="shared" si="91"/>
        <v/>
      </c>
      <c r="X206" s="632" t="str">
        <f t="shared" si="92"/>
        <v/>
      </c>
      <c r="Y206" s="634" t="str">
        <f t="shared" si="93"/>
        <v/>
      </c>
      <c r="Z206" s="635" t="str">
        <f t="shared" si="94"/>
        <v/>
      </c>
      <c r="AA206" s="633" t="str">
        <f t="shared" si="95"/>
        <v/>
      </c>
      <c r="AB206" s="632" t="str">
        <f t="shared" si="96"/>
        <v/>
      </c>
      <c r="AC206" s="634" t="str">
        <f t="shared" si="97"/>
        <v/>
      </c>
      <c r="AD206" s="635" t="str">
        <f t="shared" si="98"/>
        <v/>
      </c>
      <c r="AE206" s="633" t="str">
        <f t="shared" si="99"/>
        <v/>
      </c>
      <c r="AF206" s="632" t="str">
        <f t="shared" si="100"/>
        <v/>
      </c>
      <c r="AG206" s="636" t="str">
        <f t="shared" si="101"/>
        <v/>
      </c>
      <c r="AH206" s="637" t="str">
        <f t="shared" si="102"/>
        <v/>
      </c>
      <c r="AI206" s="633" t="str">
        <f t="shared" si="103"/>
        <v/>
      </c>
      <c r="AJ206" s="632" t="str">
        <f t="shared" si="104"/>
        <v/>
      </c>
      <c r="AK206" s="634" t="str">
        <f t="shared" si="105"/>
        <v/>
      </c>
      <c r="AL206" s="635" t="str">
        <f t="shared" si="106"/>
        <v/>
      </c>
      <c r="AM206" s="645" t="str">
        <f t="shared" si="107"/>
        <v/>
      </c>
      <c r="AN206" s="38"/>
    </row>
    <row r="207" spans="1:40" ht="13.2" x14ac:dyDescent="0.25">
      <c r="A207" s="26"/>
      <c r="B207" s="38"/>
      <c r="C207" s="261" t="s">
        <v>441</v>
      </c>
      <c r="D207" s="644" t="str">
        <f t="shared" si="82"/>
        <v/>
      </c>
      <c r="E207" s="635" t="str">
        <f t="shared" si="82"/>
        <v/>
      </c>
      <c r="F207" s="357"/>
      <c r="G207" s="357"/>
      <c r="H207" s="357"/>
      <c r="I207" s="357"/>
      <c r="J207" s="357"/>
      <c r="K207" s="357"/>
      <c r="L207" s="357"/>
      <c r="M207" s="38"/>
      <c r="N207" s="632" t="str">
        <f t="shared" si="84"/>
        <v/>
      </c>
      <c r="O207" s="633" t="str">
        <f t="shared" si="85"/>
        <v/>
      </c>
      <c r="P207" s="632" t="str">
        <f t="shared" si="108"/>
        <v/>
      </c>
      <c r="Q207" s="634" t="str">
        <f t="shared" si="86"/>
        <v/>
      </c>
      <c r="R207" s="635" t="str">
        <f t="shared" si="109"/>
        <v/>
      </c>
      <c r="S207" s="633" t="str">
        <f t="shared" si="87"/>
        <v/>
      </c>
      <c r="T207" s="632" t="str">
        <f t="shared" si="88"/>
        <v/>
      </c>
      <c r="U207" s="636" t="str">
        <f t="shared" si="89"/>
        <v/>
      </c>
      <c r="V207" s="637" t="str">
        <f t="shared" si="90"/>
        <v/>
      </c>
      <c r="W207" s="633" t="str">
        <f t="shared" si="91"/>
        <v/>
      </c>
      <c r="X207" s="632" t="str">
        <f t="shared" si="92"/>
        <v/>
      </c>
      <c r="Y207" s="634" t="str">
        <f t="shared" si="93"/>
        <v/>
      </c>
      <c r="Z207" s="635" t="str">
        <f t="shared" si="94"/>
        <v/>
      </c>
      <c r="AA207" s="633" t="str">
        <f t="shared" si="95"/>
        <v/>
      </c>
      <c r="AB207" s="632" t="str">
        <f t="shared" si="96"/>
        <v/>
      </c>
      <c r="AC207" s="634" t="str">
        <f t="shared" si="97"/>
        <v/>
      </c>
      <c r="AD207" s="635" t="str">
        <f t="shared" si="98"/>
        <v/>
      </c>
      <c r="AE207" s="633" t="str">
        <f t="shared" si="99"/>
        <v/>
      </c>
      <c r="AF207" s="632" t="str">
        <f t="shared" si="100"/>
        <v/>
      </c>
      <c r="AG207" s="636" t="str">
        <f t="shared" si="101"/>
        <v/>
      </c>
      <c r="AH207" s="637" t="str">
        <f t="shared" si="102"/>
        <v/>
      </c>
      <c r="AI207" s="633" t="str">
        <f t="shared" si="103"/>
        <v/>
      </c>
      <c r="AJ207" s="632" t="str">
        <f t="shared" si="104"/>
        <v/>
      </c>
      <c r="AK207" s="634" t="str">
        <f t="shared" si="105"/>
        <v/>
      </c>
      <c r="AL207" s="635" t="str">
        <f t="shared" si="106"/>
        <v/>
      </c>
      <c r="AM207" s="645" t="str">
        <f t="shared" si="107"/>
        <v/>
      </c>
      <c r="AN207" s="38"/>
    </row>
    <row r="208" spans="1:40" ht="13.2" x14ac:dyDescent="0.25">
      <c r="A208" s="26"/>
      <c r="B208" s="38"/>
      <c r="C208" s="261" t="s">
        <v>441</v>
      </c>
      <c r="D208" s="644" t="str">
        <f t="shared" si="82"/>
        <v/>
      </c>
      <c r="E208" s="635" t="str">
        <f t="shared" si="82"/>
        <v/>
      </c>
      <c r="F208" s="357"/>
      <c r="G208" s="357"/>
      <c r="H208" s="357"/>
      <c r="I208" s="357"/>
      <c r="J208" s="357"/>
      <c r="K208" s="357"/>
      <c r="L208" s="357"/>
      <c r="M208" s="38"/>
      <c r="N208" s="632" t="str">
        <f t="shared" si="84"/>
        <v/>
      </c>
      <c r="O208" s="633" t="str">
        <f t="shared" si="85"/>
        <v/>
      </c>
      <c r="P208" s="632" t="str">
        <f t="shared" si="108"/>
        <v/>
      </c>
      <c r="Q208" s="634" t="str">
        <f t="shared" si="86"/>
        <v/>
      </c>
      <c r="R208" s="635" t="str">
        <f t="shared" si="109"/>
        <v/>
      </c>
      <c r="S208" s="633" t="str">
        <f t="shared" si="87"/>
        <v/>
      </c>
      <c r="T208" s="632" t="str">
        <f t="shared" si="88"/>
        <v/>
      </c>
      <c r="U208" s="636" t="str">
        <f t="shared" si="89"/>
        <v/>
      </c>
      <c r="V208" s="637" t="str">
        <f t="shared" si="90"/>
        <v/>
      </c>
      <c r="W208" s="633" t="str">
        <f t="shared" si="91"/>
        <v/>
      </c>
      <c r="X208" s="632" t="str">
        <f t="shared" si="92"/>
        <v/>
      </c>
      <c r="Y208" s="634" t="str">
        <f t="shared" si="93"/>
        <v/>
      </c>
      <c r="Z208" s="635" t="str">
        <f t="shared" si="94"/>
        <v/>
      </c>
      <c r="AA208" s="633" t="str">
        <f t="shared" si="95"/>
        <v/>
      </c>
      <c r="AB208" s="632" t="str">
        <f t="shared" si="96"/>
        <v/>
      </c>
      <c r="AC208" s="634" t="str">
        <f t="shared" si="97"/>
        <v/>
      </c>
      <c r="AD208" s="635" t="str">
        <f t="shared" si="98"/>
        <v/>
      </c>
      <c r="AE208" s="633" t="str">
        <f t="shared" si="99"/>
        <v/>
      </c>
      <c r="AF208" s="632" t="str">
        <f t="shared" si="100"/>
        <v/>
      </c>
      <c r="AG208" s="636" t="str">
        <f t="shared" si="101"/>
        <v/>
      </c>
      <c r="AH208" s="637" t="str">
        <f t="shared" si="102"/>
        <v/>
      </c>
      <c r="AI208" s="633" t="str">
        <f t="shared" si="103"/>
        <v/>
      </c>
      <c r="AJ208" s="632" t="str">
        <f t="shared" si="104"/>
        <v/>
      </c>
      <c r="AK208" s="634" t="str">
        <f t="shared" si="105"/>
        <v/>
      </c>
      <c r="AL208" s="635" t="str">
        <f t="shared" si="106"/>
        <v/>
      </c>
      <c r="AM208" s="645" t="str">
        <f t="shared" si="107"/>
        <v/>
      </c>
      <c r="AN208" s="38"/>
    </row>
    <row r="209" spans="1:40" ht="13.2" x14ac:dyDescent="0.25">
      <c r="A209" s="26"/>
      <c r="B209" s="38"/>
      <c r="C209" s="261" t="s">
        <v>441</v>
      </c>
      <c r="D209" s="644" t="str">
        <f t="shared" si="82"/>
        <v/>
      </c>
      <c r="E209" s="635" t="str">
        <f t="shared" si="82"/>
        <v/>
      </c>
      <c r="F209" s="357"/>
      <c r="G209" s="357"/>
      <c r="H209" s="357"/>
      <c r="I209" s="357"/>
      <c r="J209" s="357"/>
      <c r="K209" s="357"/>
      <c r="L209" s="357"/>
      <c r="M209" s="38"/>
      <c r="N209" s="632" t="str">
        <f t="shared" si="84"/>
        <v/>
      </c>
      <c r="O209" s="633" t="str">
        <f t="shared" si="85"/>
        <v/>
      </c>
      <c r="P209" s="632" t="str">
        <f t="shared" si="108"/>
        <v/>
      </c>
      <c r="Q209" s="634" t="str">
        <f t="shared" si="86"/>
        <v/>
      </c>
      <c r="R209" s="635" t="str">
        <f t="shared" si="109"/>
        <v/>
      </c>
      <c r="S209" s="633" t="str">
        <f t="shared" si="87"/>
        <v/>
      </c>
      <c r="T209" s="632" t="str">
        <f t="shared" si="88"/>
        <v/>
      </c>
      <c r="U209" s="636" t="str">
        <f t="shared" si="89"/>
        <v/>
      </c>
      <c r="V209" s="637" t="str">
        <f t="shared" si="90"/>
        <v/>
      </c>
      <c r="W209" s="633" t="str">
        <f t="shared" si="91"/>
        <v/>
      </c>
      <c r="X209" s="632" t="str">
        <f t="shared" si="92"/>
        <v/>
      </c>
      <c r="Y209" s="634" t="str">
        <f t="shared" si="93"/>
        <v/>
      </c>
      <c r="Z209" s="635" t="str">
        <f t="shared" si="94"/>
        <v/>
      </c>
      <c r="AA209" s="633" t="str">
        <f t="shared" si="95"/>
        <v/>
      </c>
      <c r="AB209" s="632" t="str">
        <f t="shared" si="96"/>
        <v/>
      </c>
      <c r="AC209" s="634" t="str">
        <f t="shared" si="97"/>
        <v/>
      </c>
      <c r="AD209" s="635" t="str">
        <f t="shared" si="98"/>
        <v/>
      </c>
      <c r="AE209" s="633" t="str">
        <f t="shared" si="99"/>
        <v/>
      </c>
      <c r="AF209" s="632" t="str">
        <f t="shared" si="100"/>
        <v/>
      </c>
      <c r="AG209" s="636" t="str">
        <f t="shared" si="101"/>
        <v/>
      </c>
      <c r="AH209" s="637" t="str">
        <f t="shared" si="102"/>
        <v/>
      </c>
      <c r="AI209" s="633" t="str">
        <f t="shared" si="103"/>
        <v/>
      </c>
      <c r="AJ209" s="632" t="str">
        <f t="shared" si="104"/>
        <v/>
      </c>
      <c r="AK209" s="634" t="str">
        <f t="shared" si="105"/>
        <v/>
      </c>
      <c r="AL209" s="635" t="str">
        <f t="shared" si="106"/>
        <v/>
      </c>
      <c r="AM209" s="645" t="str">
        <f t="shared" si="107"/>
        <v/>
      </c>
      <c r="AN209" s="38"/>
    </row>
    <row r="210" spans="1:40" ht="13.2" x14ac:dyDescent="0.25">
      <c r="A210" s="26"/>
      <c r="B210" s="38"/>
      <c r="C210" s="261" t="s">
        <v>441</v>
      </c>
      <c r="D210" s="644" t="str">
        <f t="shared" si="82"/>
        <v/>
      </c>
      <c r="E210" s="635" t="str">
        <f t="shared" si="82"/>
        <v/>
      </c>
      <c r="F210" s="357"/>
      <c r="G210" s="357"/>
      <c r="H210" s="357"/>
      <c r="I210" s="357"/>
      <c r="J210" s="357"/>
      <c r="K210" s="357"/>
      <c r="L210" s="357"/>
      <c r="M210" s="38"/>
      <c r="N210" s="632" t="str">
        <f t="shared" si="84"/>
        <v/>
      </c>
      <c r="O210" s="633" t="str">
        <f t="shared" si="85"/>
        <v/>
      </c>
      <c r="P210" s="632" t="str">
        <f t="shared" si="108"/>
        <v/>
      </c>
      <c r="Q210" s="634" t="str">
        <f t="shared" si="86"/>
        <v/>
      </c>
      <c r="R210" s="635" t="str">
        <f t="shared" si="109"/>
        <v/>
      </c>
      <c r="S210" s="633" t="str">
        <f t="shared" si="87"/>
        <v/>
      </c>
      <c r="T210" s="632" t="str">
        <f t="shared" si="88"/>
        <v/>
      </c>
      <c r="U210" s="636" t="str">
        <f t="shared" si="89"/>
        <v/>
      </c>
      <c r="V210" s="637" t="str">
        <f t="shared" si="90"/>
        <v/>
      </c>
      <c r="W210" s="633" t="str">
        <f t="shared" si="91"/>
        <v/>
      </c>
      <c r="X210" s="632" t="str">
        <f t="shared" si="92"/>
        <v/>
      </c>
      <c r="Y210" s="634" t="str">
        <f t="shared" si="93"/>
        <v/>
      </c>
      <c r="Z210" s="635" t="str">
        <f t="shared" si="94"/>
        <v/>
      </c>
      <c r="AA210" s="633" t="str">
        <f t="shared" si="95"/>
        <v/>
      </c>
      <c r="AB210" s="632" t="str">
        <f t="shared" si="96"/>
        <v/>
      </c>
      <c r="AC210" s="634" t="str">
        <f t="shared" si="97"/>
        <v/>
      </c>
      <c r="AD210" s="635" t="str">
        <f t="shared" si="98"/>
        <v/>
      </c>
      <c r="AE210" s="633" t="str">
        <f t="shared" si="99"/>
        <v/>
      </c>
      <c r="AF210" s="632" t="str">
        <f t="shared" si="100"/>
        <v/>
      </c>
      <c r="AG210" s="636" t="str">
        <f t="shared" si="101"/>
        <v/>
      </c>
      <c r="AH210" s="637" t="str">
        <f t="shared" si="102"/>
        <v/>
      </c>
      <c r="AI210" s="633" t="str">
        <f t="shared" si="103"/>
        <v/>
      </c>
      <c r="AJ210" s="632" t="str">
        <f t="shared" si="104"/>
        <v/>
      </c>
      <c r="AK210" s="634" t="str">
        <f t="shared" si="105"/>
        <v/>
      </c>
      <c r="AL210" s="635" t="str">
        <f t="shared" si="106"/>
        <v/>
      </c>
      <c r="AM210" s="645" t="str">
        <f t="shared" si="107"/>
        <v/>
      </c>
      <c r="AN210" s="38"/>
    </row>
    <row r="211" spans="1:40" ht="13.2" x14ac:dyDescent="0.25">
      <c r="A211" s="26"/>
      <c r="B211" s="38"/>
      <c r="C211" s="261" t="s">
        <v>441</v>
      </c>
      <c r="D211" s="644" t="str">
        <f t="shared" si="82"/>
        <v/>
      </c>
      <c r="E211" s="635" t="str">
        <f t="shared" si="82"/>
        <v/>
      </c>
      <c r="F211" s="357"/>
      <c r="G211" s="357"/>
      <c r="H211" s="357"/>
      <c r="I211" s="357"/>
      <c r="J211" s="357"/>
      <c r="K211" s="357"/>
      <c r="L211" s="357"/>
      <c r="M211" s="38"/>
      <c r="N211" s="632" t="str">
        <f t="shared" si="84"/>
        <v/>
      </c>
      <c r="O211" s="633" t="str">
        <f t="shared" si="85"/>
        <v/>
      </c>
      <c r="P211" s="632" t="str">
        <f t="shared" si="108"/>
        <v/>
      </c>
      <c r="Q211" s="634" t="str">
        <f t="shared" si="86"/>
        <v/>
      </c>
      <c r="R211" s="635" t="str">
        <f t="shared" si="109"/>
        <v/>
      </c>
      <c r="S211" s="633" t="str">
        <f t="shared" si="87"/>
        <v/>
      </c>
      <c r="T211" s="632" t="str">
        <f t="shared" si="88"/>
        <v/>
      </c>
      <c r="U211" s="636" t="str">
        <f t="shared" si="89"/>
        <v/>
      </c>
      <c r="V211" s="637" t="str">
        <f t="shared" si="90"/>
        <v/>
      </c>
      <c r="W211" s="633" t="str">
        <f t="shared" si="91"/>
        <v/>
      </c>
      <c r="X211" s="632" t="str">
        <f t="shared" si="92"/>
        <v/>
      </c>
      <c r="Y211" s="634" t="str">
        <f t="shared" si="93"/>
        <v/>
      </c>
      <c r="Z211" s="635" t="str">
        <f t="shared" si="94"/>
        <v/>
      </c>
      <c r="AA211" s="633" t="str">
        <f t="shared" si="95"/>
        <v/>
      </c>
      <c r="AB211" s="632" t="str">
        <f t="shared" si="96"/>
        <v/>
      </c>
      <c r="AC211" s="634" t="str">
        <f t="shared" si="97"/>
        <v/>
      </c>
      <c r="AD211" s="635" t="str">
        <f t="shared" si="98"/>
        <v/>
      </c>
      <c r="AE211" s="633" t="str">
        <f t="shared" si="99"/>
        <v/>
      </c>
      <c r="AF211" s="632" t="str">
        <f t="shared" si="100"/>
        <v/>
      </c>
      <c r="AG211" s="636" t="str">
        <f t="shared" si="101"/>
        <v/>
      </c>
      <c r="AH211" s="637" t="str">
        <f t="shared" si="102"/>
        <v/>
      </c>
      <c r="AI211" s="633" t="str">
        <f t="shared" si="103"/>
        <v/>
      </c>
      <c r="AJ211" s="632" t="str">
        <f t="shared" si="104"/>
        <v/>
      </c>
      <c r="AK211" s="634" t="str">
        <f t="shared" si="105"/>
        <v/>
      </c>
      <c r="AL211" s="635" t="str">
        <f t="shared" si="106"/>
        <v/>
      </c>
      <c r="AM211" s="645" t="str">
        <f t="shared" si="107"/>
        <v/>
      </c>
      <c r="AN211" s="38"/>
    </row>
    <row r="212" spans="1:40" ht="13.2" x14ac:dyDescent="0.25">
      <c r="A212" s="26"/>
      <c r="B212" s="38"/>
      <c r="C212" s="261" t="s">
        <v>441</v>
      </c>
      <c r="D212" s="644" t="str">
        <f t="shared" si="82"/>
        <v/>
      </c>
      <c r="E212" s="635" t="str">
        <f t="shared" si="82"/>
        <v/>
      </c>
      <c r="F212" s="357"/>
      <c r="G212" s="357"/>
      <c r="H212" s="357"/>
      <c r="I212" s="357"/>
      <c r="J212" s="357"/>
      <c r="K212" s="357"/>
      <c r="L212" s="357"/>
      <c r="M212" s="38"/>
      <c r="N212" s="632" t="str">
        <f t="shared" si="84"/>
        <v/>
      </c>
      <c r="O212" s="633" t="str">
        <f t="shared" si="85"/>
        <v/>
      </c>
      <c r="P212" s="632" t="str">
        <f t="shared" si="108"/>
        <v/>
      </c>
      <c r="Q212" s="634" t="str">
        <f t="shared" si="86"/>
        <v/>
      </c>
      <c r="R212" s="635" t="str">
        <f t="shared" si="109"/>
        <v/>
      </c>
      <c r="S212" s="633" t="str">
        <f t="shared" si="87"/>
        <v/>
      </c>
      <c r="T212" s="632" t="str">
        <f t="shared" si="88"/>
        <v/>
      </c>
      <c r="U212" s="636" t="str">
        <f t="shared" si="89"/>
        <v/>
      </c>
      <c r="V212" s="637" t="str">
        <f t="shared" si="90"/>
        <v/>
      </c>
      <c r="W212" s="633" t="str">
        <f t="shared" si="91"/>
        <v/>
      </c>
      <c r="X212" s="632" t="str">
        <f t="shared" si="92"/>
        <v/>
      </c>
      <c r="Y212" s="634" t="str">
        <f t="shared" si="93"/>
        <v/>
      </c>
      <c r="Z212" s="635" t="str">
        <f t="shared" si="94"/>
        <v/>
      </c>
      <c r="AA212" s="633" t="str">
        <f t="shared" si="95"/>
        <v/>
      </c>
      <c r="AB212" s="632" t="str">
        <f t="shared" si="96"/>
        <v/>
      </c>
      <c r="AC212" s="634" t="str">
        <f t="shared" si="97"/>
        <v/>
      </c>
      <c r="AD212" s="635" t="str">
        <f t="shared" si="98"/>
        <v/>
      </c>
      <c r="AE212" s="633" t="str">
        <f t="shared" si="99"/>
        <v/>
      </c>
      <c r="AF212" s="632" t="str">
        <f t="shared" si="100"/>
        <v/>
      </c>
      <c r="AG212" s="636" t="str">
        <f t="shared" si="101"/>
        <v/>
      </c>
      <c r="AH212" s="637" t="str">
        <f t="shared" si="102"/>
        <v/>
      </c>
      <c r="AI212" s="633" t="str">
        <f t="shared" si="103"/>
        <v/>
      </c>
      <c r="AJ212" s="632" t="str">
        <f t="shared" si="104"/>
        <v/>
      </c>
      <c r="AK212" s="634" t="str">
        <f t="shared" si="105"/>
        <v/>
      </c>
      <c r="AL212" s="635" t="str">
        <f t="shared" si="106"/>
        <v/>
      </c>
      <c r="AM212" s="645" t="str">
        <f t="shared" si="107"/>
        <v/>
      </c>
      <c r="AN212" s="38"/>
    </row>
    <row r="213" spans="1:40" ht="13.2" x14ac:dyDescent="0.25">
      <c r="A213" s="26"/>
      <c r="B213" s="38"/>
      <c r="C213" s="261" t="s">
        <v>441</v>
      </c>
      <c r="D213" s="644" t="str">
        <f t="shared" si="82"/>
        <v/>
      </c>
      <c r="E213" s="635" t="str">
        <f t="shared" si="82"/>
        <v/>
      </c>
      <c r="F213" s="357"/>
      <c r="G213" s="357"/>
      <c r="H213" s="357"/>
      <c r="I213" s="357"/>
      <c r="J213" s="357"/>
      <c r="K213" s="357"/>
      <c r="L213" s="357"/>
      <c r="M213" s="38"/>
      <c r="N213" s="632" t="str">
        <f t="shared" si="84"/>
        <v/>
      </c>
      <c r="O213" s="633" t="str">
        <f t="shared" si="85"/>
        <v/>
      </c>
      <c r="P213" s="632" t="str">
        <f t="shared" si="108"/>
        <v/>
      </c>
      <c r="Q213" s="634" t="str">
        <f t="shared" si="86"/>
        <v/>
      </c>
      <c r="R213" s="635" t="str">
        <f t="shared" si="109"/>
        <v/>
      </c>
      <c r="S213" s="633" t="str">
        <f t="shared" si="87"/>
        <v/>
      </c>
      <c r="T213" s="632" t="str">
        <f t="shared" si="88"/>
        <v/>
      </c>
      <c r="U213" s="636" t="str">
        <f t="shared" si="89"/>
        <v/>
      </c>
      <c r="V213" s="637" t="str">
        <f t="shared" si="90"/>
        <v/>
      </c>
      <c r="W213" s="633" t="str">
        <f t="shared" si="91"/>
        <v/>
      </c>
      <c r="X213" s="632" t="str">
        <f t="shared" si="92"/>
        <v/>
      </c>
      <c r="Y213" s="634" t="str">
        <f t="shared" si="93"/>
        <v/>
      </c>
      <c r="Z213" s="635" t="str">
        <f t="shared" si="94"/>
        <v/>
      </c>
      <c r="AA213" s="633" t="str">
        <f t="shared" si="95"/>
        <v/>
      </c>
      <c r="AB213" s="632" t="str">
        <f t="shared" si="96"/>
        <v/>
      </c>
      <c r="AC213" s="634" t="str">
        <f t="shared" si="97"/>
        <v/>
      </c>
      <c r="AD213" s="635" t="str">
        <f t="shared" si="98"/>
        <v/>
      </c>
      <c r="AE213" s="633" t="str">
        <f t="shared" si="99"/>
        <v/>
      </c>
      <c r="AF213" s="632" t="str">
        <f t="shared" si="100"/>
        <v/>
      </c>
      <c r="AG213" s="636" t="str">
        <f t="shared" si="101"/>
        <v/>
      </c>
      <c r="AH213" s="637" t="str">
        <f t="shared" si="102"/>
        <v/>
      </c>
      <c r="AI213" s="633" t="str">
        <f t="shared" si="103"/>
        <v/>
      </c>
      <c r="AJ213" s="632" t="str">
        <f t="shared" si="104"/>
        <v/>
      </c>
      <c r="AK213" s="634" t="str">
        <f t="shared" si="105"/>
        <v/>
      </c>
      <c r="AL213" s="635" t="str">
        <f t="shared" si="106"/>
        <v/>
      </c>
      <c r="AM213" s="645" t="str">
        <f t="shared" si="107"/>
        <v/>
      </c>
      <c r="AN213" s="38"/>
    </row>
    <row r="214" spans="1:40" ht="13.2" x14ac:dyDescent="0.25">
      <c r="A214" s="26"/>
      <c r="B214" s="38"/>
      <c r="C214" s="261" t="s">
        <v>441</v>
      </c>
      <c r="D214" s="644" t="str">
        <f t="shared" si="82"/>
        <v/>
      </c>
      <c r="E214" s="635" t="str">
        <f t="shared" si="82"/>
        <v/>
      </c>
      <c r="F214" s="357"/>
      <c r="G214" s="357"/>
      <c r="H214" s="357"/>
      <c r="I214" s="357"/>
      <c r="J214" s="357"/>
      <c r="K214" s="357"/>
      <c r="L214" s="357"/>
      <c r="M214" s="38"/>
      <c r="N214" s="632" t="str">
        <f t="shared" si="84"/>
        <v/>
      </c>
      <c r="O214" s="633" t="str">
        <f t="shared" si="85"/>
        <v/>
      </c>
      <c r="P214" s="632" t="str">
        <f t="shared" si="108"/>
        <v/>
      </c>
      <c r="Q214" s="634" t="str">
        <f t="shared" si="86"/>
        <v/>
      </c>
      <c r="R214" s="635" t="str">
        <f t="shared" si="109"/>
        <v/>
      </c>
      <c r="S214" s="633" t="str">
        <f t="shared" si="87"/>
        <v/>
      </c>
      <c r="T214" s="632" t="str">
        <f t="shared" si="88"/>
        <v/>
      </c>
      <c r="U214" s="636" t="str">
        <f t="shared" si="89"/>
        <v/>
      </c>
      <c r="V214" s="637" t="str">
        <f t="shared" si="90"/>
        <v/>
      </c>
      <c r="W214" s="633" t="str">
        <f t="shared" si="91"/>
        <v/>
      </c>
      <c r="X214" s="632" t="str">
        <f t="shared" si="92"/>
        <v/>
      </c>
      <c r="Y214" s="634" t="str">
        <f t="shared" si="93"/>
        <v/>
      </c>
      <c r="Z214" s="635" t="str">
        <f t="shared" si="94"/>
        <v/>
      </c>
      <c r="AA214" s="633" t="str">
        <f t="shared" si="95"/>
        <v/>
      </c>
      <c r="AB214" s="632" t="str">
        <f t="shared" si="96"/>
        <v/>
      </c>
      <c r="AC214" s="634" t="str">
        <f t="shared" si="97"/>
        <v/>
      </c>
      <c r="AD214" s="635" t="str">
        <f t="shared" si="98"/>
        <v/>
      </c>
      <c r="AE214" s="633" t="str">
        <f t="shared" si="99"/>
        <v/>
      </c>
      <c r="AF214" s="632" t="str">
        <f t="shared" si="100"/>
        <v/>
      </c>
      <c r="AG214" s="636" t="str">
        <f t="shared" si="101"/>
        <v/>
      </c>
      <c r="AH214" s="637" t="str">
        <f t="shared" si="102"/>
        <v/>
      </c>
      <c r="AI214" s="633" t="str">
        <f t="shared" si="103"/>
        <v/>
      </c>
      <c r="AJ214" s="632" t="str">
        <f t="shared" si="104"/>
        <v/>
      </c>
      <c r="AK214" s="634" t="str">
        <f t="shared" si="105"/>
        <v/>
      </c>
      <c r="AL214" s="635" t="str">
        <f t="shared" si="106"/>
        <v/>
      </c>
      <c r="AM214" s="645" t="str">
        <f t="shared" si="107"/>
        <v/>
      </c>
      <c r="AN214" s="38"/>
    </row>
    <row r="215" spans="1:40" ht="13.2" x14ac:dyDescent="0.25">
      <c r="A215" s="26"/>
      <c r="B215" s="38"/>
      <c r="C215" s="261" t="s">
        <v>441</v>
      </c>
      <c r="D215" s="644" t="str">
        <f t="shared" si="82"/>
        <v/>
      </c>
      <c r="E215" s="635" t="str">
        <f t="shared" si="82"/>
        <v/>
      </c>
      <c r="F215" s="357"/>
      <c r="G215" s="357"/>
      <c r="H215" s="357"/>
      <c r="I215" s="357"/>
      <c r="J215" s="357"/>
      <c r="K215" s="357"/>
      <c r="L215" s="357"/>
      <c r="M215" s="38"/>
      <c r="N215" s="632" t="str">
        <f t="shared" si="84"/>
        <v/>
      </c>
      <c r="O215" s="633" t="str">
        <f t="shared" si="85"/>
        <v/>
      </c>
      <c r="P215" s="632" t="str">
        <f t="shared" si="108"/>
        <v/>
      </c>
      <c r="Q215" s="634" t="str">
        <f t="shared" si="86"/>
        <v/>
      </c>
      <c r="R215" s="635" t="str">
        <f t="shared" si="109"/>
        <v/>
      </c>
      <c r="S215" s="633" t="str">
        <f t="shared" si="87"/>
        <v/>
      </c>
      <c r="T215" s="632" t="str">
        <f t="shared" si="88"/>
        <v/>
      </c>
      <c r="U215" s="636" t="str">
        <f t="shared" si="89"/>
        <v/>
      </c>
      <c r="V215" s="637" t="str">
        <f t="shared" si="90"/>
        <v/>
      </c>
      <c r="W215" s="633" t="str">
        <f t="shared" si="91"/>
        <v/>
      </c>
      <c r="X215" s="632" t="str">
        <f t="shared" si="92"/>
        <v/>
      </c>
      <c r="Y215" s="634" t="str">
        <f t="shared" si="93"/>
        <v/>
      </c>
      <c r="Z215" s="635" t="str">
        <f t="shared" si="94"/>
        <v/>
      </c>
      <c r="AA215" s="633" t="str">
        <f t="shared" si="95"/>
        <v/>
      </c>
      <c r="AB215" s="632" t="str">
        <f t="shared" si="96"/>
        <v/>
      </c>
      <c r="AC215" s="634" t="str">
        <f t="shared" si="97"/>
        <v/>
      </c>
      <c r="AD215" s="635" t="str">
        <f t="shared" si="98"/>
        <v/>
      </c>
      <c r="AE215" s="633" t="str">
        <f t="shared" si="99"/>
        <v/>
      </c>
      <c r="AF215" s="632" t="str">
        <f t="shared" si="100"/>
        <v/>
      </c>
      <c r="AG215" s="636" t="str">
        <f t="shared" si="101"/>
        <v/>
      </c>
      <c r="AH215" s="637" t="str">
        <f t="shared" si="102"/>
        <v/>
      </c>
      <c r="AI215" s="633" t="str">
        <f t="shared" si="103"/>
        <v/>
      </c>
      <c r="AJ215" s="632" t="str">
        <f t="shared" si="104"/>
        <v/>
      </c>
      <c r="AK215" s="634" t="str">
        <f t="shared" si="105"/>
        <v/>
      </c>
      <c r="AL215" s="635" t="str">
        <f t="shared" si="106"/>
        <v/>
      </c>
      <c r="AM215" s="645" t="str">
        <f t="shared" si="107"/>
        <v/>
      </c>
      <c r="AN215" s="38"/>
    </row>
    <row r="216" spans="1:40" s="162" customFormat="1" ht="13.2" x14ac:dyDescent="0.25">
      <c r="A216" s="454"/>
      <c r="B216" s="455"/>
      <c r="C216" s="473"/>
      <c r="D216" s="473" t="s">
        <v>419</v>
      </c>
      <c r="E216" s="635">
        <f t="shared" ref="E216:E263" si="110">E90</f>
        <v>1226.237056643987</v>
      </c>
      <c r="F216" s="635">
        <f>F573/'WK3 - Notional GI Yr1 YIELD'!$D$34</f>
        <v>1254.4405089467984</v>
      </c>
      <c r="G216" s="635">
        <f>G573/'WK3 - Notional GI Yr1 YIELD'!$D$34</f>
        <v>1285.8015216704682</v>
      </c>
      <c r="H216" s="635">
        <f>H573/'WK3 - Notional GI Yr1 YIELD'!$D$34</f>
        <v>1317.9465597122298</v>
      </c>
      <c r="I216" s="635">
        <f>I573/'WK3 - Notional GI Yr1 YIELD'!$D$34</f>
        <v>1350.8952237050353</v>
      </c>
      <c r="J216" s="635">
        <f>J573/'WK3 - Notional GI Yr1 YIELD'!$D$34</f>
        <v>1384.6676042976612</v>
      </c>
      <c r="K216" s="635">
        <f>K573/'WK3 - Notional GI Yr1 YIELD'!$D$34</f>
        <v>0</v>
      </c>
      <c r="L216" s="635">
        <f>L573/'WK3 - Notional GI Yr1 YIELD'!$D$34</f>
        <v>0</v>
      </c>
      <c r="M216" s="455"/>
      <c r="N216" s="632">
        <f t="shared" si="84"/>
        <v>28.203452302811456</v>
      </c>
      <c r="O216" s="633">
        <f t="shared" si="85"/>
        <v>2.2999999999999802E-2</v>
      </c>
      <c r="P216" s="632">
        <f t="shared" si="108"/>
        <v>31.361012723669774</v>
      </c>
      <c r="Q216" s="634">
        <f t="shared" si="86"/>
        <v>2.4999999999999849E-2</v>
      </c>
      <c r="R216" s="635">
        <f t="shared" si="109"/>
        <v>59.56446502648123</v>
      </c>
      <c r="S216" s="633">
        <f t="shared" si="87"/>
        <v>4.8574999999999639E-2</v>
      </c>
      <c r="T216" s="632">
        <f t="shared" si="88"/>
        <v>32.145038041761609</v>
      </c>
      <c r="U216" s="636">
        <f t="shared" si="89"/>
        <v>2.4999999999999925E-2</v>
      </c>
      <c r="V216" s="637">
        <f t="shared" si="90"/>
        <v>91.709503068242839</v>
      </c>
      <c r="W216" s="633">
        <f t="shared" si="91"/>
        <v>7.4789374999999561E-2</v>
      </c>
      <c r="X216" s="632">
        <f t="shared" si="92"/>
        <v>32.94866399280545</v>
      </c>
      <c r="Y216" s="634">
        <f t="shared" si="93"/>
        <v>2.4999999999999776E-2</v>
      </c>
      <c r="Z216" s="635">
        <f t="shared" si="94"/>
        <v>124.65816706104829</v>
      </c>
      <c r="AA216" s="633">
        <f t="shared" si="95"/>
        <v>0.10165910937499931</v>
      </c>
      <c r="AB216" s="632">
        <f t="shared" si="96"/>
        <v>33.77238059262595</v>
      </c>
      <c r="AC216" s="634">
        <f t="shared" si="97"/>
        <v>2.500000000000005E-2</v>
      </c>
      <c r="AD216" s="635">
        <f t="shared" si="98"/>
        <v>158.43054765367424</v>
      </c>
      <c r="AE216" s="633">
        <f t="shared" si="99"/>
        <v>0.12920058710937435</v>
      </c>
      <c r="AF216" s="632" t="str">
        <f t="shared" si="100"/>
        <v/>
      </c>
      <c r="AG216" s="636" t="str">
        <f t="shared" si="101"/>
        <v/>
      </c>
      <c r="AH216" s="637" t="str">
        <f t="shared" si="102"/>
        <v/>
      </c>
      <c r="AI216" s="633" t="str">
        <f t="shared" si="103"/>
        <v/>
      </c>
      <c r="AJ216" s="632" t="str">
        <f t="shared" si="104"/>
        <v/>
      </c>
      <c r="AK216" s="634" t="str">
        <f t="shared" si="105"/>
        <v/>
      </c>
      <c r="AL216" s="635" t="str">
        <f t="shared" si="106"/>
        <v/>
      </c>
      <c r="AM216" s="645" t="str">
        <f t="shared" si="107"/>
        <v/>
      </c>
      <c r="AN216" s="455"/>
    </row>
    <row r="217" spans="1:40" ht="13.2" x14ac:dyDescent="0.25">
      <c r="A217" s="26"/>
      <c r="B217" s="38"/>
      <c r="C217" s="261" t="s">
        <v>209</v>
      </c>
      <c r="D217" s="644" t="str">
        <f t="shared" ref="D217:D261" si="111">D91</f>
        <v>Inner CBD</v>
      </c>
      <c r="E217" s="635">
        <f t="shared" si="110"/>
        <v>8238.9893681324793</v>
      </c>
      <c r="F217" s="357">
        <v>8259.09</v>
      </c>
      <c r="G217" s="357">
        <f t="shared" ref="G217:J220" si="112">F217*1.025</f>
        <v>8465.5672500000001</v>
      </c>
      <c r="H217" s="357">
        <f t="shared" si="112"/>
        <v>8677.2064312499988</v>
      </c>
      <c r="I217" s="357">
        <f t="shared" si="112"/>
        <v>8894.1365920312473</v>
      </c>
      <c r="J217" s="357">
        <f t="shared" si="112"/>
        <v>9116.4900068320276</v>
      </c>
      <c r="K217" s="357"/>
      <c r="L217" s="357"/>
      <c r="M217" s="38"/>
      <c r="N217" s="632">
        <f t="shared" si="84"/>
        <v>20.10063186752086</v>
      </c>
      <c r="O217" s="633">
        <f t="shared" si="85"/>
        <v>2.4396962988285837E-3</v>
      </c>
      <c r="P217" s="632">
        <f t="shared" si="108"/>
        <v>206.47724999999991</v>
      </c>
      <c r="Q217" s="634">
        <f t="shared" si="86"/>
        <v>2.4999999999999988E-2</v>
      </c>
      <c r="R217" s="635">
        <f t="shared" si="109"/>
        <v>226.57788186752077</v>
      </c>
      <c r="S217" s="633">
        <f t="shared" si="87"/>
        <v>2.7500688706299289E-2</v>
      </c>
      <c r="T217" s="632">
        <f t="shared" si="88"/>
        <v>211.63918124999873</v>
      </c>
      <c r="U217" s="636">
        <f t="shared" si="89"/>
        <v>2.4999999999999849E-2</v>
      </c>
      <c r="V217" s="637">
        <f t="shared" si="90"/>
        <v>438.2170631175195</v>
      </c>
      <c r="W217" s="633">
        <f t="shared" si="91"/>
        <v>5.3188205923956615E-2</v>
      </c>
      <c r="X217" s="632">
        <f t="shared" si="92"/>
        <v>216.93016078124856</v>
      </c>
      <c r="Y217" s="634">
        <f t="shared" si="93"/>
        <v>2.4999999999999838E-2</v>
      </c>
      <c r="Z217" s="635">
        <f t="shared" si="94"/>
        <v>655.14722389876806</v>
      </c>
      <c r="AA217" s="633">
        <f t="shared" si="95"/>
        <v>7.9517911072055358E-2</v>
      </c>
      <c r="AB217" s="632">
        <f t="shared" si="96"/>
        <v>222.35341480078023</v>
      </c>
      <c r="AC217" s="634">
        <f t="shared" si="97"/>
        <v>2.4999999999999894E-2</v>
      </c>
      <c r="AD217" s="635">
        <f t="shared" si="98"/>
        <v>877.50063869954829</v>
      </c>
      <c r="AE217" s="633">
        <f t="shared" si="99"/>
        <v>0.10650585884885663</v>
      </c>
      <c r="AF217" s="632" t="str">
        <f t="shared" si="100"/>
        <v/>
      </c>
      <c r="AG217" s="636" t="str">
        <f t="shared" si="101"/>
        <v/>
      </c>
      <c r="AH217" s="637" t="str">
        <f t="shared" si="102"/>
        <v/>
      </c>
      <c r="AI217" s="633" t="str">
        <f t="shared" si="103"/>
        <v/>
      </c>
      <c r="AJ217" s="632" t="str">
        <f t="shared" si="104"/>
        <v/>
      </c>
      <c r="AK217" s="634" t="str">
        <f t="shared" si="105"/>
        <v/>
      </c>
      <c r="AL217" s="635" t="str">
        <f t="shared" si="106"/>
        <v/>
      </c>
      <c r="AM217" s="645" t="str">
        <f t="shared" si="107"/>
        <v/>
      </c>
      <c r="AN217" s="38"/>
    </row>
    <row r="218" spans="1:40" ht="13.2" x14ac:dyDescent="0.25">
      <c r="A218" s="26"/>
      <c r="B218" s="38"/>
      <c r="C218" s="261" t="s">
        <v>209</v>
      </c>
      <c r="D218" s="644" t="str">
        <f t="shared" si="111"/>
        <v>Urban</v>
      </c>
      <c r="E218" s="635">
        <f t="shared" si="110"/>
        <v>4412.1322668018538</v>
      </c>
      <c r="F218" s="357">
        <v>4422.8900000000003</v>
      </c>
      <c r="G218" s="357">
        <f t="shared" si="112"/>
        <v>4533.4622499999996</v>
      </c>
      <c r="H218" s="357">
        <f t="shared" si="112"/>
        <v>4646.798806249999</v>
      </c>
      <c r="I218" s="357">
        <f t="shared" si="112"/>
        <v>4762.9687764062483</v>
      </c>
      <c r="J218" s="357">
        <f t="shared" si="112"/>
        <v>4882.0429958164041</v>
      </c>
      <c r="K218" s="357"/>
      <c r="L218" s="357"/>
      <c r="M218" s="38"/>
      <c r="N218" s="632">
        <f t="shared" si="84"/>
        <v>10.757733198146525</v>
      </c>
      <c r="O218" s="633">
        <f t="shared" si="85"/>
        <v>2.4382163878201905E-3</v>
      </c>
      <c r="P218" s="632">
        <f t="shared" si="108"/>
        <v>110.57224999999926</v>
      </c>
      <c r="Q218" s="634">
        <f t="shared" si="86"/>
        <v>2.4999999999999831E-2</v>
      </c>
      <c r="R218" s="635">
        <f t="shared" si="109"/>
        <v>121.32998319814578</v>
      </c>
      <c r="S218" s="633">
        <f t="shared" si="87"/>
        <v>2.7499171797515525E-2</v>
      </c>
      <c r="T218" s="632">
        <f t="shared" si="88"/>
        <v>113.33655624999938</v>
      </c>
      <c r="U218" s="636">
        <f t="shared" si="89"/>
        <v>2.4999999999999866E-2</v>
      </c>
      <c r="V218" s="637">
        <f t="shared" si="90"/>
        <v>234.66653944814516</v>
      </c>
      <c r="W218" s="633">
        <f t="shared" si="91"/>
        <v>5.3186651092453276E-2</v>
      </c>
      <c r="X218" s="632">
        <f t="shared" si="92"/>
        <v>116.16997015624929</v>
      </c>
      <c r="Y218" s="634">
        <f t="shared" si="93"/>
        <v>2.4999999999999852E-2</v>
      </c>
      <c r="Z218" s="635">
        <f t="shared" si="94"/>
        <v>350.83650960439445</v>
      </c>
      <c r="AA218" s="633">
        <f t="shared" si="95"/>
        <v>7.9516317369764458E-2</v>
      </c>
      <c r="AB218" s="632">
        <f t="shared" si="96"/>
        <v>119.07421941015582</v>
      </c>
      <c r="AC218" s="634">
        <f t="shared" si="97"/>
        <v>2.4999999999999918E-2</v>
      </c>
      <c r="AD218" s="635">
        <f t="shared" si="98"/>
        <v>469.91072901455027</v>
      </c>
      <c r="AE218" s="633">
        <f t="shared" si="99"/>
        <v>0.10650422530400848</v>
      </c>
      <c r="AF218" s="632" t="str">
        <f t="shared" si="100"/>
        <v/>
      </c>
      <c r="AG218" s="636" t="str">
        <f t="shared" si="101"/>
        <v/>
      </c>
      <c r="AH218" s="637" t="str">
        <f t="shared" si="102"/>
        <v/>
      </c>
      <c r="AI218" s="633" t="str">
        <f t="shared" si="103"/>
        <v/>
      </c>
      <c r="AJ218" s="632" t="str">
        <f t="shared" si="104"/>
        <v/>
      </c>
      <c r="AK218" s="634" t="str">
        <f t="shared" si="105"/>
        <v/>
      </c>
      <c r="AL218" s="635" t="str">
        <f t="shared" si="106"/>
        <v/>
      </c>
      <c r="AM218" s="645" t="str">
        <f t="shared" si="107"/>
        <v/>
      </c>
      <c r="AN218" s="38"/>
    </row>
    <row r="219" spans="1:40" ht="13.2" x14ac:dyDescent="0.25">
      <c r="A219" s="26"/>
      <c r="B219" s="38"/>
      <c r="C219" s="261" t="s">
        <v>209</v>
      </c>
      <c r="D219" s="644" t="str">
        <f t="shared" si="111"/>
        <v>Other</v>
      </c>
      <c r="E219" s="635">
        <f t="shared" si="110"/>
        <v>1694.6724120238096</v>
      </c>
      <c r="F219" s="357">
        <f>E219*1.023</f>
        <v>1733.649877500357</v>
      </c>
      <c r="G219" s="357">
        <f t="shared" si="112"/>
        <v>1776.9911244378657</v>
      </c>
      <c r="H219" s="357">
        <f t="shared" si="112"/>
        <v>1821.4159025488123</v>
      </c>
      <c r="I219" s="357">
        <f t="shared" si="112"/>
        <v>1866.9513001125324</v>
      </c>
      <c r="J219" s="357">
        <f t="shared" si="112"/>
        <v>1913.6250826153455</v>
      </c>
      <c r="K219" s="357"/>
      <c r="L219" s="357"/>
      <c r="M219" s="38"/>
      <c r="N219" s="632">
        <f t="shared" si="84"/>
        <v>38.977465476547422</v>
      </c>
      <c r="O219" s="633">
        <f t="shared" si="85"/>
        <v>2.2999999999999885E-2</v>
      </c>
      <c r="P219" s="632">
        <f t="shared" si="108"/>
        <v>43.341246937508686</v>
      </c>
      <c r="Q219" s="634">
        <f t="shared" si="86"/>
        <v>2.4999999999999863E-2</v>
      </c>
      <c r="R219" s="635">
        <f t="shared" si="109"/>
        <v>82.318712414056108</v>
      </c>
      <c r="S219" s="633">
        <f t="shared" si="87"/>
        <v>4.8574999999999736E-2</v>
      </c>
      <c r="T219" s="632">
        <f t="shared" si="88"/>
        <v>44.42477811094659</v>
      </c>
      <c r="U219" s="636">
        <f t="shared" si="89"/>
        <v>2.499999999999997E-2</v>
      </c>
      <c r="V219" s="637">
        <f t="shared" si="90"/>
        <v>126.7434905250027</v>
      </c>
      <c r="W219" s="633">
        <f t="shared" si="91"/>
        <v>7.47893749999997E-2</v>
      </c>
      <c r="X219" s="632">
        <f t="shared" si="92"/>
        <v>45.535397563720153</v>
      </c>
      <c r="Y219" s="634">
        <f t="shared" si="93"/>
        <v>2.4999999999999915E-2</v>
      </c>
      <c r="Z219" s="635">
        <f t="shared" si="94"/>
        <v>172.27888808872285</v>
      </c>
      <c r="AA219" s="633">
        <f t="shared" si="95"/>
        <v>0.1016591093749996</v>
      </c>
      <c r="AB219" s="632">
        <f t="shared" si="96"/>
        <v>46.673782502813083</v>
      </c>
      <c r="AC219" s="634">
        <f t="shared" si="97"/>
        <v>2.4999999999999876E-2</v>
      </c>
      <c r="AD219" s="635">
        <f t="shared" si="98"/>
        <v>218.95267059153593</v>
      </c>
      <c r="AE219" s="633">
        <f t="shared" si="99"/>
        <v>0.12920058710937446</v>
      </c>
      <c r="AF219" s="632" t="str">
        <f t="shared" si="100"/>
        <v/>
      </c>
      <c r="AG219" s="636" t="str">
        <f t="shared" si="101"/>
        <v/>
      </c>
      <c r="AH219" s="637" t="str">
        <f t="shared" si="102"/>
        <v/>
      </c>
      <c r="AI219" s="633" t="str">
        <f t="shared" si="103"/>
        <v/>
      </c>
      <c r="AJ219" s="632" t="str">
        <f t="shared" si="104"/>
        <v/>
      </c>
      <c r="AK219" s="634" t="str">
        <f t="shared" si="105"/>
        <v/>
      </c>
      <c r="AL219" s="635" t="str">
        <f t="shared" si="106"/>
        <v/>
      </c>
      <c r="AM219" s="645" t="str">
        <f t="shared" si="107"/>
        <v/>
      </c>
      <c r="AN219" s="38"/>
    </row>
    <row r="220" spans="1:40" ht="13.2" x14ac:dyDescent="0.25">
      <c r="A220" s="26"/>
      <c r="B220" s="38"/>
      <c r="C220" s="261" t="s">
        <v>209</v>
      </c>
      <c r="D220" s="644" t="str">
        <f t="shared" si="111"/>
        <v>Nimbin</v>
      </c>
      <c r="E220" s="635">
        <f t="shared" si="110"/>
        <v>2323.4861900000001</v>
      </c>
      <c r="F220" s="357">
        <f>E220*1.023</f>
        <v>2376.9263723700001</v>
      </c>
      <c r="G220" s="357">
        <f t="shared" si="112"/>
        <v>2436.34953167925</v>
      </c>
      <c r="H220" s="357">
        <f t="shared" si="112"/>
        <v>2497.2582699712311</v>
      </c>
      <c r="I220" s="357">
        <f t="shared" si="112"/>
        <v>2559.6897267205118</v>
      </c>
      <c r="J220" s="357">
        <f t="shared" si="112"/>
        <v>2623.6819698885242</v>
      </c>
      <c r="K220" s="357"/>
      <c r="L220" s="357"/>
      <c r="M220" s="38"/>
      <c r="N220" s="632">
        <f t="shared" si="84"/>
        <v>53.440182370000002</v>
      </c>
      <c r="O220" s="633">
        <f t="shared" si="85"/>
        <v>2.3E-2</v>
      </c>
      <c r="P220" s="632">
        <f t="shared" si="108"/>
        <v>59.423159309249968</v>
      </c>
      <c r="Q220" s="634">
        <f t="shared" si="86"/>
        <v>2.4999999999999984E-2</v>
      </c>
      <c r="R220" s="635">
        <f t="shared" si="109"/>
        <v>112.86334167924997</v>
      </c>
      <c r="S220" s="633">
        <f t="shared" si="87"/>
        <v>4.8574999999999986E-2</v>
      </c>
      <c r="T220" s="632">
        <f t="shared" si="88"/>
        <v>60.908738291981081</v>
      </c>
      <c r="U220" s="636">
        <f t="shared" si="89"/>
        <v>2.4999999999999929E-2</v>
      </c>
      <c r="V220" s="637">
        <f t="shared" si="90"/>
        <v>173.77207997123105</v>
      </c>
      <c r="W220" s="633">
        <f t="shared" si="91"/>
        <v>7.4789374999999908E-2</v>
      </c>
      <c r="X220" s="632">
        <f t="shared" si="92"/>
        <v>62.431456749280642</v>
      </c>
      <c r="Y220" s="634">
        <f t="shared" si="93"/>
        <v>2.4999999999999946E-2</v>
      </c>
      <c r="Z220" s="635">
        <f t="shared" si="94"/>
        <v>236.20353672051169</v>
      </c>
      <c r="AA220" s="633">
        <f t="shared" si="95"/>
        <v>0.10165910937499985</v>
      </c>
      <c r="AB220" s="632">
        <f t="shared" si="96"/>
        <v>63.992243168012465</v>
      </c>
      <c r="AC220" s="634">
        <f t="shared" si="97"/>
        <v>2.499999999999987E-2</v>
      </c>
      <c r="AD220" s="635">
        <f t="shared" si="98"/>
        <v>300.19577988852416</v>
      </c>
      <c r="AE220" s="633">
        <f t="shared" si="99"/>
        <v>0.12920058710937471</v>
      </c>
      <c r="AF220" s="632" t="str">
        <f t="shared" si="100"/>
        <v/>
      </c>
      <c r="AG220" s="636" t="str">
        <f t="shared" si="101"/>
        <v/>
      </c>
      <c r="AH220" s="637" t="str">
        <f t="shared" si="102"/>
        <v/>
      </c>
      <c r="AI220" s="633" t="str">
        <f t="shared" si="103"/>
        <v/>
      </c>
      <c r="AJ220" s="632" t="str">
        <f t="shared" si="104"/>
        <v/>
      </c>
      <c r="AK220" s="634" t="str">
        <f t="shared" si="105"/>
        <v/>
      </c>
      <c r="AL220" s="635" t="str">
        <f t="shared" si="106"/>
        <v/>
      </c>
      <c r="AM220" s="645" t="str">
        <f t="shared" si="107"/>
        <v/>
      </c>
      <c r="AN220" s="38"/>
    </row>
    <row r="221" spans="1:40" ht="13.2" x14ac:dyDescent="0.25">
      <c r="A221" s="26"/>
      <c r="B221" s="38"/>
      <c r="C221" s="261" t="s">
        <v>209</v>
      </c>
      <c r="D221" s="644" t="str">
        <f t="shared" si="111"/>
        <v/>
      </c>
      <c r="E221" s="635" t="str">
        <f t="shared" si="110"/>
        <v/>
      </c>
      <c r="F221" s="357"/>
      <c r="G221" s="357"/>
      <c r="H221" s="357"/>
      <c r="I221" s="357"/>
      <c r="J221" s="357"/>
      <c r="K221" s="357"/>
      <c r="L221" s="357"/>
      <c r="M221" s="38"/>
      <c r="N221" s="632" t="str">
        <f t="shared" si="84"/>
        <v/>
      </c>
      <c r="O221" s="633" t="str">
        <f t="shared" si="85"/>
        <v/>
      </c>
      <c r="P221" s="632" t="str">
        <f t="shared" si="108"/>
        <v/>
      </c>
      <c r="Q221" s="634" t="str">
        <f t="shared" si="86"/>
        <v/>
      </c>
      <c r="R221" s="635" t="str">
        <f t="shared" si="109"/>
        <v/>
      </c>
      <c r="S221" s="633" t="str">
        <f t="shared" si="87"/>
        <v/>
      </c>
      <c r="T221" s="632" t="str">
        <f t="shared" si="88"/>
        <v/>
      </c>
      <c r="U221" s="636" t="str">
        <f t="shared" si="89"/>
        <v/>
      </c>
      <c r="V221" s="637" t="str">
        <f t="shared" si="90"/>
        <v/>
      </c>
      <c r="W221" s="633" t="str">
        <f t="shared" si="91"/>
        <v/>
      </c>
      <c r="X221" s="632" t="str">
        <f t="shared" si="92"/>
        <v/>
      </c>
      <c r="Y221" s="634" t="str">
        <f t="shared" si="93"/>
        <v/>
      </c>
      <c r="Z221" s="635" t="str">
        <f t="shared" si="94"/>
        <v/>
      </c>
      <c r="AA221" s="633" t="str">
        <f t="shared" si="95"/>
        <v/>
      </c>
      <c r="AB221" s="632" t="str">
        <f t="shared" si="96"/>
        <v/>
      </c>
      <c r="AC221" s="634" t="str">
        <f t="shared" si="97"/>
        <v/>
      </c>
      <c r="AD221" s="635" t="str">
        <f t="shared" si="98"/>
        <v/>
      </c>
      <c r="AE221" s="633" t="str">
        <f t="shared" si="99"/>
        <v/>
      </c>
      <c r="AF221" s="632" t="str">
        <f t="shared" si="100"/>
        <v/>
      </c>
      <c r="AG221" s="636" t="str">
        <f t="shared" si="101"/>
        <v/>
      </c>
      <c r="AH221" s="637" t="str">
        <f t="shared" si="102"/>
        <v/>
      </c>
      <c r="AI221" s="633" t="str">
        <f t="shared" si="103"/>
        <v/>
      </c>
      <c r="AJ221" s="632" t="str">
        <f t="shared" si="104"/>
        <v/>
      </c>
      <c r="AK221" s="634" t="str">
        <f t="shared" si="105"/>
        <v/>
      </c>
      <c r="AL221" s="635" t="str">
        <f t="shared" si="106"/>
        <v/>
      </c>
      <c r="AM221" s="645" t="str">
        <f t="shared" si="107"/>
        <v/>
      </c>
      <c r="AN221" s="38"/>
    </row>
    <row r="222" spans="1:40" ht="13.2" x14ac:dyDescent="0.25">
      <c r="A222" s="26"/>
      <c r="B222" s="38"/>
      <c r="C222" s="261" t="s">
        <v>209</v>
      </c>
      <c r="D222" s="644" t="str">
        <f t="shared" si="111"/>
        <v/>
      </c>
      <c r="E222" s="635" t="str">
        <f t="shared" si="110"/>
        <v/>
      </c>
      <c r="F222" s="357"/>
      <c r="G222" s="357"/>
      <c r="H222" s="357"/>
      <c r="I222" s="357"/>
      <c r="J222" s="357"/>
      <c r="K222" s="357"/>
      <c r="L222" s="357"/>
      <c r="M222" s="38"/>
      <c r="N222" s="632" t="str">
        <f t="shared" si="84"/>
        <v/>
      </c>
      <c r="O222" s="633" t="str">
        <f t="shared" si="85"/>
        <v/>
      </c>
      <c r="P222" s="632" t="str">
        <f t="shared" si="108"/>
        <v/>
      </c>
      <c r="Q222" s="634" t="str">
        <f t="shared" si="86"/>
        <v/>
      </c>
      <c r="R222" s="635" t="str">
        <f t="shared" si="109"/>
        <v/>
      </c>
      <c r="S222" s="633" t="str">
        <f t="shared" si="87"/>
        <v/>
      </c>
      <c r="T222" s="632" t="str">
        <f t="shared" si="88"/>
        <v/>
      </c>
      <c r="U222" s="636" t="str">
        <f t="shared" si="89"/>
        <v/>
      </c>
      <c r="V222" s="637" t="str">
        <f t="shared" si="90"/>
        <v/>
      </c>
      <c r="W222" s="633" t="str">
        <f t="shared" si="91"/>
        <v/>
      </c>
      <c r="X222" s="632" t="str">
        <f t="shared" si="92"/>
        <v/>
      </c>
      <c r="Y222" s="634" t="str">
        <f t="shared" si="93"/>
        <v/>
      </c>
      <c r="Z222" s="635" t="str">
        <f t="shared" si="94"/>
        <v/>
      </c>
      <c r="AA222" s="633" t="str">
        <f t="shared" si="95"/>
        <v/>
      </c>
      <c r="AB222" s="632" t="str">
        <f t="shared" si="96"/>
        <v/>
      </c>
      <c r="AC222" s="634" t="str">
        <f t="shared" si="97"/>
        <v/>
      </c>
      <c r="AD222" s="635" t="str">
        <f t="shared" si="98"/>
        <v/>
      </c>
      <c r="AE222" s="633" t="str">
        <f t="shared" si="99"/>
        <v/>
      </c>
      <c r="AF222" s="632" t="str">
        <f t="shared" si="100"/>
        <v/>
      </c>
      <c r="AG222" s="636" t="str">
        <f t="shared" si="101"/>
        <v/>
      </c>
      <c r="AH222" s="637" t="str">
        <f t="shared" si="102"/>
        <v/>
      </c>
      <c r="AI222" s="633" t="str">
        <f t="shared" si="103"/>
        <v/>
      </c>
      <c r="AJ222" s="632" t="str">
        <f t="shared" si="104"/>
        <v/>
      </c>
      <c r="AK222" s="634" t="str">
        <f t="shared" si="105"/>
        <v/>
      </c>
      <c r="AL222" s="635" t="str">
        <f t="shared" si="106"/>
        <v/>
      </c>
      <c r="AM222" s="645" t="str">
        <f t="shared" si="107"/>
        <v/>
      </c>
      <c r="AN222" s="38"/>
    </row>
    <row r="223" spans="1:40" ht="13.2" x14ac:dyDescent="0.25">
      <c r="A223" s="26"/>
      <c r="B223" s="38"/>
      <c r="C223" s="261" t="s">
        <v>209</v>
      </c>
      <c r="D223" s="644" t="str">
        <f t="shared" si="111"/>
        <v/>
      </c>
      <c r="E223" s="635" t="str">
        <f t="shared" si="110"/>
        <v/>
      </c>
      <c r="F223" s="357"/>
      <c r="G223" s="357"/>
      <c r="H223" s="357"/>
      <c r="I223" s="357"/>
      <c r="J223" s="357"/>
      <c r="K223" s="357"/>
      <c r="L223" s="357"/>
      <c r="M223" s="38"/>
      <c r="N223" s="632" t="str">
        <f t="shared" si="84"/>
        <v/>
      </c>
      <c r="O223" s="633" t="str">
        <f t="shared" si="85"/>
        <v/>
      </c>
      <c r="P223" s="632" t="str">
        <f t="shared" si="108"/>
        <v/>
      </c>
      <c r="Q223" s="634" t="str">
        <f t="shared" si="86"/>
        <v/>
      </c>
      <c r="R223" s="635" t="str">
        <f t="shared" si="109"/>
        <v/>
      </c>
      <c r="S223" s="633" t="str">
        <f t="shared" si="87"/>
        <v/>
      </c>
      <c r="T223" s="632" t="str">
        <f t="shared" si="88"/>
        <v/>
      </c>
      <c r="U223" s="636" t="str">
        <f t="shared" si="89"/>
        <v/>
      </c>
      <c r="V223" s="637" t="str">
        <f t="shared" si="90"/>
        <v/>
      </c>
      <c r="W223" s="633" t="str">
        <f t="shared" si="91"/>
        <v/>
      </c>
      <c r="X223" s="632" t="str">
        <f t="shared" si="92"/>
        <v/>
      </c>
      <c r="Y223" s="634" t="str">
        <f t="shared" si="93"/>
        <v/>
      </c>
      <c r="Z223" s="635" t="str">
        <f t="shared" si="94"/>
        <v/>
      </c>
      <c r="AA223" s="633" t="str">
        <f t="shared" si="95"/>
        <v/>
      </c>
      <c r="AB223" s="632" t="str">
        <f t="shared" si="96"/>
        <v/>
      </c>
      <c r="AC223" s="634" t="str">
        <f t="shared" si="97"/>
        <v/>
      </c>
      <c r="AD223" s="635" t="str">
        <f t="shared" si="98"/>
        <v/>
      </c>
      <c r="AE223" s="633" t="str">
        <f t="shared" si="99"/>
        <v/>
      </c>
      <c r="AF223" s="632" t="str">
        <f t="shared" si="100"/>
        <v/>
      </c>
      <c r="AG223" s="636" t="str">
        <f t="shared" si="101"/>
        <v/>
      </c>
      <c r="AH223" s="637" t="str">
        <f t="shared" si="102"/>
        <v/>
      </c>
      <c r="AI223" s="633" t="str">
        <f t="shared" si="103"/>
        <v/>
      </c>
      <c r="AJ223" s="632" t="str">
        <f t="shared" si="104"/>
        <v/>
      </c>
      <c r="AK223" s="634" t="str">
        <f t="shared" si="105"/>
        <v/>
      </c>
      <c r="AL223" s="635" t="str">
        <f t="shared" si="106"/>
        <v/>
      </c>
      <c r="AM223" s="645" t="str">
        <f t="shared" si="107"/>
        <v/>
      </c>
      <c r="AN223" s="38"/>
    </row>
    <row r="224" spans="1:40" ht="13.2" x14ac:dyDescent="0.25">
      <c r="A224" s="26"/>
      <c r="B224" s="38"/>
      <c r="C224" s="261" t="s">
        <v>209</v>
      </c>
      <c r="D224" s="644" t="str">
        <f t="shared" si="111"/>
        <v/>
      </c>
      <c r="E224" s="635" t="str">
        <f t="shared" si="110"/>
        <v/>
      </c>
      <c r="F224" s="357"/>
      <c r="G224" s="357"/>
      <c r="H224" s="357"/>
      <c r="I224" s="357"/>
      <c r="J224" s="357"/>
      <c r="K224" s="357"/>
      <c r="L224" s="357"/>
      <c r="M224" s="38"/>
      <c r="N224" s="632" t="str">
        <f t="shared" si="84"/>
        <v/>
      </c>
      <c r="O224" s="633" t="str">
        <f t="shared" si="85"/>
        <v/>
      </c>
      <c r="P224" s="632" t="str">
        <f t="shared" si="108"/>
        <v/>
      </c>
      <c r="Q224" s="634" t="str">
        <f t="shared" si="86"/>
        <v/>
      </c>
      <c r="R224" s="635" t="str">
        <f t="shared" si="109"/>
        <v/>
      </c>
      <c r="S224" s="633" t="str">
        <f t="shared" si="87"/>
        <v/>
      </c>
      <c r="T224" s="632" t="str">
        <f t="shared" si="88"/>
        <v/>
      </c>
      <c r="U224" s="636" t="str">
        <f t="shared" si="89"/>
        <v/>
      </c>
      <c r="V224" s="637" t="str">
        <f t="shared" si="90"/>
        <v/>
      </c>
      <c r="W224" s="633" t="str">
        <f t="shared" si="91"/>
        <v/>
      </c>
      <c r="X224" s="632" t="str">
        <f t="shared" si="92"/>
        <v/>
      </c>
      <c r="Y224" s="634" t="str">
        <f t="shared" si="93"/>
        <v/>
      </c>
      <c r="Z224" s="635" t="str">
        <f t="shared" si="94"/>
        <v/>
      </c>
      <c r="AA224" s="633" t="str">
        <f t="shared" si="95"/>
        <v/>
      </c>
      <c r="AB224" s="632" t="str">
        <f t="shared" si="96"/>
        <v/>
      </c>
      <c r="AC224" s="634" t="str">
        <f t="shared" si="97"/>
        <v/>
      </c>
      <c r="AD224" s="635" t="str">
        <f t="shared" si="98"/>
        <v/>
      </c>
      <c r="AE224" s="633" t="str">
        <f t="shared" si="99"/>
        <v/>
      </c>
      <c r="AF224" s="632" t="str">
        <f t="shared" si="100"/>
        <v/>
      </c>
      <c r="AG224" s="636" t="str">
        <f t="shared" si="101"/>
        <v/>
      </c>
      <c r="AH224" s="637" t="str">
        <f t="shared" si="102"/>
        <v/>
      </c>
      <c r="AI224" s="633" t="str">
        <f t="shared" si="103"/>
        <v/>
      </c>
      <c r="AJ224" s="632" t="str">
        <f t="shared" si="104"/>
        <v/>
      </c>
      <c r="AK224" s="634" t="str">
        <f t="shared" si="105"/>
        <v/>
      </c>
      <c r="AL224" s="635" t="str">
        <f t="shared" si="106"/>
        <v/>
      </c>
      <c r="AM224" s="645" t="str">
        <f t="shared" si="107"/>
        <v/>
      </c>
      <c r="AN224" s="38"/>
    </row>
    <row r="225" spans="1:40" ht="13.2" x14ac:dyDescent="0.25">
      <c r="A225" s="26"/>
      <c r="B225" s="38"/>
      <c r="C225" s="261" t="s">
        <v>209</v>
      </c>
      <c r="D225" s="644" t="str">
        <f t="shared" si="111"/>
        <v/>
      </c>
      <c r="E225" s="635" t="str">
        <f t="shared" si="110"/>
        <v/>
      </c>
      <c r="F225" s="357"/>
      <c r="G225" s="357"/>
      <c r="H225" s="357"/>
      <c r="I225" s="357"/>
      <c r="J225" s="357"/>
      <c r="K225" s="357"/>
      <c r="L225" s="357"/>
      <c r="M225" s="38"/>
      <c r="N225" s="632" t="str">
        <f t="shared" si="84"/>
        <v/>
      </c>
      <c r="O225" s="633" t="str">
        <f t="shared" si="85"/>
        <v/>
      </c>
      <c r="P225" s="632" t="str">
        <f t="shared" si="108"/>
        <v/>
      </c>
      <c r="Q225" s="634" t="str">
        <f t="shared" si="86"/>
        <v/>
      </c>
      <c r="R225" s="635" t="str">
        <f t="shared" si="109"/>
        <v/>
      </c>
      <c r="S225" s="633" t="str">
        <f t="shared" si="87"/>
        <v/>
      </c>
      <c r="T225" s="632" t="str">
        <f t="shared" si="88"/>
        <v/>
      </c>
      <c r="U225" s="636" t="str">
        <f t="shared" si="89"/>
        <v/>
      </c>
      <c r="V225" s="637" t="str">
        <f t="shared" si="90"/>
        <v/>
      </c>
      <c r="W225" s="633" t="str">
        <f t="shared" si="91"/>
        <v/>
      </c>
      <c r="X225" s="632" t="str">
        <f t="shared" si="92"/>
        <v/>
      </c>
      <c r="Y225" s="634" t="str">
        <f t="shared" si="93"/>
        <v/>
      </c>
      <c r="Z225" s="635" t="str">
        <f t="shared" si="94"/>
        <v/>
      </c>
      <c r="AA225" s="633" t="str">
        <f t="shared" si="95"/>
        <v/>
      </c>
      <c r="AB225" s="632" t="str">
        <f t="shared" si="96"/>
        <v/>
      </c>
      <c r="AC225" s="634" t="str">
        <f t="shared" si="97"/>
        <v/>
      </c>
      <c r="AD225" s="635" t="str">
        <f t="shared" si="98"/>
        <v/>
      </c>
      <c r="AE225" s="633" t="str">
        <f t="shared" si="99"/>
        <v/>
      </c>
      <c r="AF225" s="632" t="str">
        <f t="shared" si="100"/>
        <v/>
      </c>
      <c r="AG225" s="636" t="str">
        <f t="shared" si="101"/>
        <v/>
      </c>
      <c r="AH225" s="637" t="str">
        <f t="shared" si="102"/>
        <v/>
      </c>
      <c r="AI225" s="633" t="str">
        <f t="shared" si="103"/>
        <v/>
      </c>
      <c r="AJ225" s="632" t="str">
        <f t="shared" si="104"/>
        <v/>
      </c>
      <c r="AK225" s="634" t="str">
        <f t="shared" si="105"/>
        <v/>
      </c>
      <c r="AL225" s="635" t="str">
        <f t="shared" si="106"/>
        <v/>
      </c>
      <c r="AM225" s="645" t="str">
        <f t="shared" si="107"/>
        <v/>
      </c>
      <c r="AN225" s="38"/>
    </row>
    <row r="226" spans="1:40" ht="13.2" x14ac:dyDescent="0.25">
      <c r="A226" s="26"/>
      <c r="B226" s="38"/>
      <c r="C226" s="261" t="s">
        <v>209</v>
      </c>
      <c r="D226" s="644" t="str">
        <f t="shared" si="111"/>
        <v/>
      </c>
      <c r="E226" s="635" t="str">
        <f t="shared" si="110"/>
        <v/>
      </c>
      <c r="F226" s="357"/>
      <c r="G226" s="357"/>
      <c r="H226" s="357"/>
      <c r="I226" s="357"/>
      <c r="J226" s="357"/>
      <c r="K226" s="357"/>
      <c r="L226" s="357"/>
      <c r="M226" s="38"/>
      <c r="N226" s="632" t="str">
        <f t="shared" si="84"/>
        <v/>
      </c>
      <c r="O226" s="633" t="str">
        <f t="shared" si="85"/>
        <v/>
      </c>
      <c r="P226" s="632" t="str">
        <f t="shared" si="108"/>
        <v/>
      </c>
      <c r="Q226" s="634" t="str">
        <f t="shared" si="86"/>
        <v/>
      </c>
      <c r="R226" s="635" t="str">
        <f t="shared" si="109"/>
        <v/>
      </c>
      <c r="S226" s="633" t="str">
        <f t="shared" si="87"/>
        <v/>
      </c>
      <c r="T226" s="632" t="str">
        <f t="shared" si="88"/>
        <v/>
      </c>
      <c r="U226" s="636" t="str">
        <f t="shared" si="89"/>
        <v/>
      </c>
      <c r="V226" s="637" t="str">
        <f t="shared" si="90"/>
        <v/>
      </c>
      <c r="W226" s="633" t="str">
        <f t="shared" si="91"/>
        <v/>
      </c>
      <c r="X226" s="632" t="str">
        <f t="shared" si="92"/>
        <v/>
      </c>
      <c r="Y226" s="634" t="str">
        <f t="shared" si="93"/>
        <v/>
      </c>
      <c r="Z226" s="635" t="str">
        <f t="shared" si="94"/>
        <v/>
      </c>
      <c r="AA226" s="633" t="str">
        <f t="shared" si="95"/>
        <v/>
      </c>
      <c r="AB226" s="632" t="str">
        <f t="shared" si="96"/>
        <v/>
      </c>
      <c r="AC226" s="634" t="str">
        <f t="shared" si="97"/>
        <v/>
      </c>
      <c r="AD226" s="635" t="str">
        <f t="shared" si="98"/>
        <v/>
      </c>
      <c r="AE226" s="633" t="str">
        <f t="shared" si="99"/>
        <v/>
      </c>
      <c r="AF226" s="632" t="str">
        <f t="shared" si="100"/>
        <v/>
      </c>
      <c r="AG226" s="636" t="str">
        <f t="shared" si="101"/>
        <v/>
      </c>
      <c r="AH226" s="637" t="str">
        <f t="shared" si="102"/>
        <v/>
      </c>
      <c r="AI226" s="633" t="str">
        <f t="shared" si="103"/>
        <v/>
      </c>
      <c r="AJ226" s="632" t="str">
        <f t="shared" si="104"/>
        <v/>
      </c>
      <c r="AK226" s="634" t="str">
        <f t="shared" si="105"/>
        <v/>
      </c>
      <c r="AL226" s="635" t="str">
        <f t="shared" si="106"/>
        <v/>
      </c>
      <c r="AM226" s="645" t="str">
        <f t="shared" si="107"/>
        <v/>
      </c>
      <c r="AN226" s="38"/>
    </row>
    <row r="227" spans="1:40" ht="13.2" x14ac:dyDescent="0.25">
      <c r="A227" s="26"/>
      <c r="B227" s="38"/>
      <c r="C227" s="261" t="s">
        <v>209</v>
      </c>
      <c r="D227" s="644" t="str">
        <f t="shared" si="111"/>
        <v/>
      </c>
      <c r="E227" s="635" t="str">
        <f t="shared" si="110"/>
        <v/>
      </c>
      <c r="F227" s="357"/>
      <c r="G227" s="357"/>
      <c r="H227" s="357"/>
      <c r="I227" s="357"/>
      <c r="J227" s="357"/>
      <c r="K227" s="357"/>
      <c r="L227" s="357"/>
      <c r="M227" s="38"/>
      <c r="N227" s="632" t="str">
        <f t="shared" si="84"/>
        <v/>
      </c>
      <c r="O227" s="633" t="str">
        <f t="shared" si="85"/>
        <v/>
      </c>
      <c r="P227" s="632" t="str">
        <f t="shared" si="108"/>
        <v/>
      </c>
      <c r="Q227" s="634" t="str">
        <f t="shared" si="86"/>
        <v/>
      </c>
      <c r="R227" s="635" t="str">
        <f t="shared" si="109"/>
        <v/>
      </c>
      <c r="S227" s="633" t="str">
        <f t="shared" si="87"/>
        <v/>
      </c>
      <c r="T227" s="632" t="str">
        <f t="shared" si="88"/>
        <v/>
      </c>
      <c r="U227" s="636" t="str">
        <f t="shared" si="89"/>
        <v/>
      </c>
      <c r="V227" s="637" t="str">
        <f t="shared" si="90"/>
        <v/>
      </c>
      <c r="W227" s="633" t="str">
        <f t="shared" si="91"/>
        <v/>
      </c>
      <c r="X227" s="632" t="str">
        <f t="shared" si="92"/>
        <v/>
      </c>
      <c r="Y227" s="634" t="str">
        <f t="shared" si="93"/>
        <v/>
      </c>
      <c r="Z227" s="635" t="str">
        <f t="shared" si="94"/>
        <v/>
      </c>
      <c r="AA227" s="633" t="str">
        <f t="shared" si="95"/>
        <v/>
      </c>
      <c r="AB227" s="632" t="str">
        <f t="shared" si="96"/>
        <v/>
      </c>
      <c r="AC227" s="634" t="str">
        <f t="shared" si="97"/>
        <v/>
      </c>
      <c r="AD227" s="635" t="str">
        <f t="shared" si="98"/>
        <v/>
      </c>
      <c r="AE227" s="633" t="str">
        <f t="shared" si="99"/>
        <v/>
      </c>
      <c r="AF227" s="632" t="str">
        <f t="shared" si="100"/>
        <v/>
      </c>
      <c r="AG227" s="636" t="str">
        <f t="shared" si="101"/>
        <v/>
      </c>
      <c r="AH227" s="637" t="str">
        <f t="shared" si="102"/>
        <v/>
      </c>
      <c r="AI227" s="633" t="str">
        <f t="shared" si="103"/>
        <v/>
      </c>
      <c r="AJ227" s="632" t="str">
        <f t="shared" si="104"/>
        <v/>
      </c>
      <c r="AK227" s="634" t="str">
        <f t="shared" si="105"/>
        <v/>
      </c>
      <c r="AL227" s="635" t="str">
        <f t="shared" si="106"/>
        <v/>
      </c>
      <c r="AM227" s="645" t="str">
        <f t="shared" si="107"/>
        <v/>
      </c>
      <c r="AN227" s="38"/>
    </row>
    <row r="228" spans="1:40" ht="13.2" x14ac:dyDescent="0.25">
      <c r="A228" s="26"/>
      <c r="B228" s="38"/>
      <c r="C228" s="261" t="s">
        <v>209</v>
      </c>
      <c r="D228" s="644" t="str">
        <f t="shared" si="111"/>
        <v/>
      </c>
      <c r="E228" s="635" t="str">
        <f t="shared" si="110"/>
        <v/>
      </c>
      <c r="F228" s="357"/>
      <c r="G228" s="357"/>
      <c r="H228" s="357"/>
      <c r="I228" s="357"/>
      <c r="J228" s="357"/>
      <c r="K228" s="357"/>
      <c r="L228" s="357"/>
      <c r="M228" s="38"/>
      <c r="N228" s="632" t="str">
        <f t="shared" si="84"/>
        <v/>
      </c>
      <c r="O228" s="633" t="str">
        <f t="shared" si="85"/>
        <v/>
      </c>
      <c r="P228" s="632" t="str">
        <f t="shared" si="108"/>
        <v/>
      </c>
      <c r="Q228" s="634" t="str">
        <f t="shared" si="86"/>
        <v/>
      </c>
      <c r="R228" s="635" t="str">
        <f t="shared" si="109"/>
        <v/>
      </c>
      <c r="S228" s="633" t="str">
        <f t="shared" si="87"/>
        <v/>
      </c>
      <c r="T228" s="632" t="str">
        <f t="shared" si="88"/>
        <v/>
      </c>
      <c r="U228" s="636" t="str">
        <f t="shared" si="89"/>
        <v/>
      </c>
      <c r="V228" s="637" t="str">
        <f t="shared" si="90"/>
        <v/>
      </c>
      <c r="W228" s="633" t="str">
        <f t="shared" si="91"/>
        <v/>
      </c>
      <c r="X228" s="632" t="str">
        <f t="shared" si="92"/>
        <v/>
      </c>
      <c r="Y228" s="634" t="str">
        <f t="shared" si="93"/>
        <v/>
      </c>
      <c r="Z228" s="635" t="str">
        <f t="shared" si="94"/>
        <v/>
      </c>
      <c r="AA228" s="633" t="str">
        <f t="shared" si="95"/>
        <v/>
      </c>
      <c r="AB228" s="632" t="str">
        <f t="shared" si="96"/>
        <v/>
      </c>
      <c r="AC228" s="634" t="str">
        <f t="shared" si="97"/>
        <v/>
      </c>
      <c r="AD228" s="635" t="str">
        <f t="shared" si="98"/>
        <v/>
      </c>
      <c r="AE228" s="633" t="str">
        <f t="shared" si="99"/>
        <v/>
      </c>
      <c r="AF228" s="632" t="str">
        <f t="shared" si="100"/>
        <v/>
      </c>
      <c r="AG228" s="636" t="str">
        <f t="shared" si="101"/>
        <v/>
      </c>
      <c r="AH228" s="637" t="str">
        <f t="shared" si="102"/>
        <v/>
      </c>
      <c r="AI228" s="633" t="str">
        <f t="shared" si="103"/>
        <v/>
      </c>
      <c r="AJ228" s="632" t="str">
        <f t="shared" si="104"/>
        <v/>
      </c>
      <c r="AK228" s="634" t="str">
        <f t="shared" si="105"/>
        <v/>
      </c>
      <c r="AL228" s="635" t="str">
        <f t="shared" si="106"/>
        <v/>
      </c>
      <c r="AM228" s="645" t="str">
        <f t="shared" si="107"/>
        <v/>
      </c>
      <c r="AN228" s="38"/>
    </row>
    <row r="229" spans="1:40" ht="13.2" x14ac:dyDescent="0.25">
      <c r="A229" s="26"/>
      <c r="B229" s="38"/>
      <c r="C229" s="261" t="s">
        <v>209</v>
      </c>
      <c r="D229" s="644" t="str">
        <f t="shared" si="111"/>
        <v/>
      </c>
      <c r="E229" s="635" t="str">
        <f t="shared" si="110"/>
        <v/>
      </c>
      <c r="F229" s="357"/>
      <c r="G229" s="357"/>
      <c r="H229" s="357"/>
      <c r="I229" s="357"/>
      <c r="J229" s="357"/>
      <c r="K229" s="357"/>
      <c r="L229" s="357"/>
      <c r="M229" s="38"/>
      <c r="N229" s="632" t="str">
        <f t="shared" si="84"/>
        <v/>
      </c>
      <c r="O229" s="633" t="str">
        <f t="shared" si="85"/>
        <v/>
      </c>
      <c r="P229" s="632" t="str">
        <f t="shared" si="108"/>
        <v/>
      </c>
      <c r="Q229" s="634" t="str">
        <f t="shared" si="86"/>
        <v/>
      </c>
      <c r="R229" s="635" t="str">
        <f t="shared" si="109"/>
        <v/>
      </c>
      <c r="S229" s="633" t="str">
        <f t="shared" si="87"/>
        <v/>
      </c>
      <c r="T229" s="632" t="str">
        <f t="shared" si="88"/>
        <v/>
      </c>
      <c r="U229" s="636" t="str">
        <f t="shared" si="89"/>
        <v/>
      </c>
      <c r="V229" s="637" t="str">
        <f t="shared" si="90"/>
        <v/>
      </c>
      <c r="W229" s="633" t="str">
        <f t="shared" si="91"/>
        <v/>
      </c>
      <c r="X229" s="632" t="str">
        <f t="shared" si="92"/>
        <v/>
      </c>
      <c r="Y229" s="634" t="str">
        <f t="shared" si="93"/>
        <v/>
      </c>
      <c r="Z229" s="635" t="str">
        <f t="shared" si="94"/>
        <v/>
      </c>
      <c r="AA229" s="633" t="str">
        <f t="shared" si="95"/>
        <v/>
      </c>
      <c r="AB229" s="632" t="str">
        <f t="shared" si="96"/>
        <v/>
      </c>
      <c r="AC229" s="634" t="str">
        <f t="shared" si="97"/>
        <v/>
      </c>
      <c r="AD229" s="635" t="str">
        <f t="shared" si="98"/>
        <v/>
      </c>
      <c r="AE229" s="633" t="str">
        <f t="shared" si="99"/>
        <v/>
      </c>
      <c r="AF229" s="632" t="str">
        <f t="shared" si="100"/>
        <v/>
      </c>
      <c r="AG229" s="636" t="str">
        <f t="shared" si="101"/>
        <v/>
      </c>
      <c r="AH229" s="637" t="str">
        <f t="shared" si="102"/>
        <v/>
      </c>
      <c r="AI229" s="633" t="str">
        <f t="shared" si="103"/>
        <v/>
      </c>
      <c r="AJ229" s="632" t="str">
        <f t="shared" si="104"/>
        <v/>
      </c>
      <c r="AK229" s="634" t="str">
        <f t="shared" si="105"/>
        <v/>
      </c>
      <c r="AL229" s="635" t="str">
        <f t="shared" si="106"/>
        <v/>
      </c>
      <c r="AM229" s="645" t="str">
        <f t="shared" si="107"/>
        <v/>
      </c>
      <c r="AN229" s="38"/>
    </row>
    <row r="230" spans="1:40" ht="13.2" x14ac:dyDescent="0.25">
      <c r="A230" s="26"/>
      <c r="B230" s="38"/>
      <c r="C230" s="261" t="s">
        <v>209</v>
      </c>
      <c r="D230" s="644" t="str">
        <f t="shared" si="111"/>
        <v/>
      </c>
      <c r="E230" s="635" t="str">
        <f t="shared" si="110"/>
        <v/>
      </c>
      <c r="F230" s="357"/>
      <c r="G230" s="357"/>
      <c r="H230" s="357"/>
      <c r="I230" s="357"/>
      <c r="J230" s="357"/>
      <c r="K230" s="357"/>
      <c r="L230" s="357"/>
      <c r="M230" s="38"/>
      <c r="N230" s="632" t="str">
        <f t="shared" si="84"/>
        <v/>
      </c>
      <c r="O230" s="633" t="str">
        <f t="shared" si="85"/>
        <v/>
      </c>
      <c r="P230" s="632" t="str">
        <f t="shared" si="108"/>
        <v/>
      </c>
      <c r="Q230" s="634" t="str">
        <f t="shared" si="86"/>
        <v/>
      </c>
      <c r="R230" s="635" t="str">
        <f t="shared" si="109"/>
        <v/>
      </c>
      <c r="S230" s="633" t="str">
        <f t="shared" si="87"/>
        <v/>
      </c>
      <c r="T230" s="632" t="str">
        <f t="shared" si="88"/>
        <v/>
      </c>
      <c r="U230" s="636" t="str">
        <f t="shared" si="89"/>
        <v/>
      </c>
      <c r="V230" s="637" t="str">
        <f t="shared" si="90"/>
        <v/>
      </c>
      <c r="W230" s="633" t="str">
        <f t="shared" si="91"/>
        <v/>
      </c>
      <c r="X230" s="632" t="str">
        <f t="shared" si="92"/>
        <v/>
      </c>
      <c r="Y230" s="634" t="str">
        <f t="shared" si="93"/>
        <v/>
      </c>
      <c r="Z230" s="635" t="str">
        <f t="shared" si="94"/>
        <v/>
      </c>
      <c r="AA230" s="633" t="str">
        <f t="shared" si="95"/>
        <v/>
      </c>
      <c r="AB230" s="632" t="str">
        <f t="shared" si="96"/>
        <v/>
      </c>
      <c r="AC230" s="634" t="str">
        <f t="shared" si="97"/>
        <v/>
      </c>
      <c r="AD230" s="635" t="str">
        <f t="shared" si="98"/>
        <v/>
      </c>
      <c r="AE230" s="633" t="str">
        <f t="shared" si="99"/>
        <v/>
      </c>
      <c r="AF230" s="632" t="str">
        <f t="shared" si="100"/>
        <v/>
      </c>
      <c r="AG230" s="636" t="str">
        <f t="shared" si="101"/>
        <v/>
      </c>
      <c r="AH230" s="637" t="str">
        <f t="shared" si="102"/>
        <v/>
      </c>
      <c r="AI230" s="633" t="str">
        <f t="shared" si="103"/>
        <v/>
      </c>
      <c r="AJ230" s="632" t="str">
        <f t="shared" si="104"/>
        <v/>
      </c>
      <c r="AK230" s="634" t="str">
        <f t="shared" si="105"/>
        <v/>
      </c>
      <c r="AL230" s="635" t="str">
        <f t="shared" si="106"/>
        <v/>
      </c>
      <c r="AM230" s="645" t="str">
        <f t="shared" si="107"/>
        <v/>
      </c>
      <c r="AN230" s="38"/>
    </row>
    <row r="231" spans="1:40" ht="13.2" x14ac:dyDescent="0.25">
      <c r="A231" s="26"/>
      <c r="B231" s="38"/>
      <c r="C231" s="261" t="s">
        <v>209</v>
      </c>
      <c r="D231" s="644" t="str">
        <f t="shared" si="111"/>
        <v/>
      </c>
      <c r="E231" s="635" t="str">
        <f t="shared" si="110"/>
        <v/>
      </c>
      <c r="F231" s="357"/>
      <c r="G231" s="357"/>
      <c r="H231" s="357"/>
      <c r="I231" s="357"/>
      <c r="J231" s="357"/>
      <c r="K231" s="357"/>
      <c r="L231" s="357"/>
      <c r="M231" s="38"/>
      <c r="N231" s="632" t="str">
        <f t="shared" si="84"/>
        <v/>
      </c>
      <c r="O231" s="633" t="str">
        <f t="shared" si="85"/>
        <v/>
      </c>
      <c r="P231" s="632" t="str">
        <f t="shared" si="108"/>
        <v/>
      </c>
      <c r="Q231" s="634" t="str">
        <f t="shared" si="86"/>
        <v/>
      </c>
      <c r="R231" s="635" t="str">
        <f t="shared" si="109"/>
        <v/>
      </c>
      <c r="S231" s="633" t="str">
        <f t="shared" si="87"/>
        <v/>
      </c>
      <c r="T231" s="632" t="str">
        <f t="shared" si="88"/>
        <v/>
      </c>
      <c r="U231" s="636" t="str">
        <f t="shared" si="89"/>
        <v/>
      </c>
      <c r="V231" s="637" t="str">
        <f t="shared" si="90"/>
        <v/>
      </c>
      <c r="W231" s="633" t="str">
        <f t="shared" si="91"/>
        <v/>
      </c>
      <c r="X231" s="632" t="str">
        <f t="shared" si="92"/>
        <v/>
      </c>
      <c r="Y231" s="634" t="str">
        <f t="shared" si="93"/>
        <v/>
      </c>
      <c r="Z231" s="635" t="str">
        <f t="shared" si="94"/>
        <v/>
      </c>
      <c r="AA231" s="633" t="str">
        <f t="shared" si="95"/>
        <v/>
      </c>
      <c r="AB231" s="632" t="str">
        <f t="shared" si="96"/>
        <v/>
      </c>
      <c r="AC231" s="634" t="str">
        <f t="shared" si="97"/>
        <v/>
      </c>
      <c r="AD231" s="635" t="str">
        <f t="shared" si="98"/>
        <v/>
      </c>
      <c r="AE231" s="633" t="str">
        <f t="shared" si="99"/>
        <v/>
      </c>
      <c r="AF231" s="632" t="str">
        <f t="shared" si="100"/>
        <v/>
      </c>
      <c r="AG231" s="636" t="str">
        <f t="shared" si="101"/>
        <v/>
      </c>
      <c r="AH231" s="637" t="str">
        <f t="shared" si="102"/>
        <v/>
      </c>
      <c r="AI231" s="633" t="str">
        <f t="shared" si="103"/>
        <v/>
      </c>
      <c r="AJ231" s="632" t="str">
        <f t="shared" si="104"/>
        <v/>
      </c>
      <c r="AK231" s="634" t="str">
        <f t="shared" si="105"/>
        <v/>
      </c>
      <c r="AL231" s="635" t="str">
        <f t="shared" si="106"/>
        <v/>
      </c>
      <c r="AM231" s="645" t="str">
        <f t="shared" si="107"/>
        <v/>
      </c>
      <c r="AN231" s="38"/>
    </row>
    <row r="232" spans="1:40" ht="13.2" x14ac:dyDescent="0.25">
      <c r="A232" s="26"/>
      <c r="B232" s="38"/>
      <c r="C232" s="261" t="s">
        <v>209</v>
      </c>
      <c r="D232" s="644" t="str">
        <f t="shared" si="111"/>
        <v/>
      </c>
      <c r="E232" s="635" t="str">
        <f t="shared" si="110"/>
        <v/>
      </c>
      <c r="F232" s="357"/>
      <c r="G232" s="357"/>
      <c r="H232" s="357"/>
      <c r="I232" s="357"/>
      <c r="J232" s="357"/>
      <c r="K232" s="357"/>
      <c r="L232" s="357"/>
      <c r="M232" s="38"/>
      <c r="N232" s="632" t="str">
        <f t="shared" si="84"/>
        <v/>
      </c>
      <c r="O232" s="633" t="str">
        <f t="shared" si="85"/>
        <v/>
      </c>
      <c r="P232" s="632" t="str">
        <f t="shared" si="108"/>
        <v/>
      </c>
      <c r="Q232" s="634" t="str">
        <f t="shared" si="86"/>
        <v/>
      </c>
      <c r="R232" s="635" t="str">
        <f t="shared" si="109"/>
        <v/>
      </c>
      <c r="S232" s="633" t="str">
        <f t="shared" si="87"/>
        <v/>
      </c>
      <c r="T232" s="632" t="str">
        <f t="shared" si="88"/>
        <v/>
      </c>
      <c r="U232" s="636" t="str">
        <f t="shared" si="89"/>
        <v/>
      </c>
      <c r="V232" s="637" t="str">
        <f t="shared" si="90"/>
        <v/>
      </c>
      <c r="W232" s="633" t="str">
        <f t="shared" si="91"/>
        <v/>
      </c>
      <c r="X232" s="632" t="str">
        <f t="shared" si="92"/>
        <v/>
      </c>
      <c r="Y232" s="634" t="str">
        <f t="shared" si="93"/>
        <v/>
      </c>
      <c r="Z232" s="635" t="str">
        <f t="shared" si="94"/>
        <v/>
      </c>
      <c r="AA232" s="633" t="str">
        <f t="shared" si="95"/>
        <v/>
      </c>
      <c r="AB232" s="632" t="str">
        <f t="shared" si="96"/>
        <v/>
      </c>
      <c r="AC232" s="634" t="str">
        <f t="shared" si="97"/>
        <v/>
      </c>
      <c r="AD232" s="635" t="str">
        <f t="shared" si="98"/>
        <v/>
      </c>
      <c r="AE232" s="633" t="str">
        <f t="shared" si="99"/>
        <v/>
      </c>
      <c r="AF232" s="632" t="str">
        <f t="shared" si="100"/>
        <v/>
      </c>
      <c r="AG232" s="636" t="str">
        <f t="shared" si="101"/>
        <v/>
      </c>
      <c r="AH232" s="637" t="str">
        <f t="shared" si="102"/>
        <v/>
      </c>
      <c r="AI232" s="633" t="str">
        <f t="shared" si="103"/>
        <v/>
      </c>
      <c r="AJ232" s="632" t="str">
        <f t="shared" si="104"/>
        <v/>
      </c>
      <c r="AK232" s="634" t="str">
        <f t="shared" si="105"/>
        <v/>
      </c>
      <c r="AL232" s="635" t="str">
        <f t="shared" si="106"/>
        <v/>
      </c>
      <c r="AM232" s="645" t="str">
        <f t="shared" si="107"/>
        <v/>
      </c>
      <c r="AN232" s="38"/>
    </row>
    <row r="233" spans="1:40" ht="13.2" x14ac:dyDescent="0.25">
      <c r="A233" s="26"/>
      <c r="B233" s="38"/>
      <c r="C233" s="261" t="s">
        <v>209</v>
      </c>
      <c r="D233" s="644" t="str">
        <f t="shared" si="111"/>
        <v/>
      </c>
      <c r="E233" s="635" t="str">
        <f t="shared" si="110"/>
        <v/>
      </c>
      <c r="F233" s="357"/>
      <c r="G233" s="357"/>
      <c r="H233" s="357"/>
      <c r="I233" s="357"/>
      <c r="J233" s="357"/>
      <c r="K233" s="357"/>
      <c r="L233" s="357"/>
      <c r="M233" s="38"/>
      <c r="N233" s="632" t="str">
        <f t="shared" si="84"/>
        <v/>
      </c>
      <c r="O233" s="633" t="str">
        <f t="shared" si="85"/>
        <v/>
      </c>
      <c r="P233" s="632" t="str">
        <f t="shared" si="108"/>
        <v/>
      </c>
      <c r="Q233" s="634" t="str">
        <f t="shared" si="86"/>
        <v/>
      </c>
      <c r="R233" s="635" t="str">
        <f t="shared" si="109"/>
        <v/>
      </c>
      <c r="S233" s="633" t="str">
        <f t="shared" si="87"/>
        <v/>
      </c>
      <c r="T233" s="632" t="str">
        <f t="shared" si="88"/>
        <v/>
      </c>
      <c r="U233" s="636" t="str">
        <f t="shared" si="89"/>
        <v/>
      </c>
      <c r="V233" s="637" t="str">
        <f t="shared" si="90"/>
        <v/>
      </c>
      <c r="W233" s="633" t="str">
        <f t="shared" si="91"/>
        <v/>
      </c>
      <c r="X233" s="632" t="str">
        <f t="shared" si="92"/>
        <v/>
      </c>
      <c r="Y233" s="634" t="str">
        <f t="shared" si="93"/>
        <v/>
      </c>
      <c r="Z233" s="635" t="str">
        <f t="shared" si="94"/>
        <v/>
      </c>
      <c r="AA233" s="633" t="str">
        <f t="shared" si="95"/>
        <v/>
      </c>
      <c r="AB233" s="632" t="str">
        <f t="shared" si="96"/>
        <v/>
      </c>
      <c r="AC233" s="634" t="str">
        <f t="shared" si="97"/>
        <v/>
      </c>
      <c r="AD233" s="635" t="str">
        <f t="shared" si="98"/>
        <v/>
      </c>
      <c r="AE233" s="633" t="str">
        <f t="shared" si="99"/>
        <v/>
      </c>
      <c r="AF233" s="632" t="str">
        <f t="shared" si="100"/>
        <v/>
      </c>
      <c r="AG233" s="636" t="str">
        <f t="shared" si="101"/>
        <v/>
      </c>
      <c r="AH233" s="637" t="str">
        <f t="shared" si="102"/>
        <v/>
      </c>
      <c r="AI233" s="633" t="str">
        <f t="shared" si="103"/>
        <v/>
      </c>
      <c r="AJ233" s="632" t="str">
        <f t="shared" si="104"/>
        <v/>
      </c>
      <c r="AK233" s="634" t="str">
        <f t="shared" si="105"/>
        <v/>
      </c>
      <c r="AL233" s="635" t="str">
        <f t="shared" si="106"/>
        <v/>
      </c>
      <c r="AM233" s="645" t="str">
        <f t="shared" si="107"/>
        <v/>
      </c>
      <c r="AN233" s="38"/>
    </row>
    <row r="234" spans="1:40" ht="13.2" x14ac:dyDescent="0.25">
      <c r="A234" s="26"/>
      <c r="B234" s="38"/>
      <c r="C234" s="261" t="s">
        <v>209</v>
      </c>
      <c r="D234" s="644" t="str">
        <f t="shared" si="111"/>
        <v/>
      </c>
      <c r="E234" s="635" t="str">
        <f t="shared" si="110"/>
        <v/>
      </c>
      <c r="F234" s="357"/>
      <c r="G234" s="357"/>
      <c r="H234" s="357"/>
      <c r="I234" s="357"/>
      <c r="J234" s="357"/>
      <c r="K234" s="357"/>
      <c r="L234" s="357"/>
      <c r="M234" s="38"/>
      <c r="N234" s="632" t="str">
        <f t="shared" si="84"/>
        <v/>
      </c>
      <c r="O234" s="633" t="str">
        <f t="shared" si="85"/>
        <v/>
      </c>
      <c r="P234" s="632" t="str">
        <f t="shared" si="108"/>
        <v/>
      </c>
      <c r="Q234" s="634" t="str">
        <f t="shared" si="86"/>
        <v/>
      </c>
      <c r="R234" s="635" t="str">
        <f t="shared" si="109"/>
        <v/>
      </c>
      <c r="S234" s="633" t="str">
        <f t="shared" si="87"/>
        <v/>
      </c>
      <c r="T234" s="632" t="str">
        <f t="shared" si="88"/>
        <v/>
      </c>
      <c r="U234" s="636" t="str">
        <f t="shared" si="89"/>
        <v/>
      </c>
      <c r="V234" s="637" t="str">
        <f t="shared" si="90"/>
        <v/>
      </c>
      <c r="W234" s="633" t="str">
        <f t="shared" si="91"/>
        <v/>
      </c>
      <c r="X234" s="632" t="str">
        <f t="shared" si="92"/>
        <v/>
      </c>
      <c r="Y234" s="634" t="str">
        <f t="shared" si="93"/>
        <v/>
      </c>
      <c r="Z234" s="635" t="str">
        <f t="shared" si="94"/>
        <v/>
      </c>
      <c r="AA234" s="633" t="str">
        <f t="shared" si="95"/>
        <v/>
      </c>
      <c r="AB234" s="632" t="str">
        <f t="shared" si="96"/>
        <v/>
      </c>
      <c r="AC234" s="634" t="str">
        <f t="shared" si="97"/>
        <v/>
      </c>
      <c r="AD234" s="635" t="str">
        <f t="shared" si="98"/>
        <v/>
      </c>
      <c r="AE234" s="633" t="str">
        <f t="shared" si="99"/>
        <v/>
      </c>
      <c r="AF234" s="632" t="str">
        <f t="shared" si="100"/>
        <v/>
      </c>
      <c r="AG234" s="636" t="str">
        <f t="shared" si="101"/>
        <v/>
      </c>
      <c r="AH234" s="637" t="str">
        <f t="shared" si="102"/>
        <v/>
      </c>
      <c r="AI234" s="633" t="str">
        <f t="shared" si="103"/>
        <v/>
      </c>
      <c r="AJ234" s="632" t="str">
        <f t="shared" si="104"/>
        <v/>
      </c>
      <c r="AK234" s="634" t="str">
        <f t="shared" si="105"/>
        <v/>
      </c>
      <c r="AL234" s="635" t="str">
        <f t="shared" si="106"/>
        <v/>
      </c>
      <c r="AM234" s="645" t="str">
        <f t="shared" si="107"/>
        <v/>
      </c>
      <c r="AN234" s="38"/>
    </row>
    <row r="235" spans="1:40" ht="13.2" x14ac:dyDescent="0.25">
      <c r="A235" s="26"/>
      <c r="B235" s="38"/>
      <c r="C235" s="261" t="s">
        <v>209</v>
      </c>
      <c r="D235" s="644" t="str">
        <f t="shared" si="111"/>
        <v/>
      </c>
      <c r="E235" s="635" t="str">
        <f t="shared" si="110"/>
        <v/>
      </c>
      <c r="F235" s="357"/>
      <c r="G235" s="357"/>
      <c r="H235" s="357"/>
      <c r="I235" s="357"/>
      <c r="J235" s="357"/>
      <c r="K235" s="357"/>
      <c r="L235" s="357"/>
      <c r="M235" s="38"/>
      <c r="N235" s="632" t="str">
        <f t="shared" si="84"/>
        <v/>
      </c>
      <c r="O235" s="633" t="str">
        <f t="shared" si="85"/>
        <v/>
      </c>
      <c r="P235" s="632" t="str">
        <f t="shared" si="108"/>
        <v/>
      </c>
      <c r="Q235" s="634" t="str">
        <f t="shared" si="86"/>
        <v/>
      </c>
      <c r="R235" s="635" t="str">
        <f t="shared" si="109"/>
        <v/>
      </c>
      <c r="S235" s="633" t="str">
        <f t="shared" si="87"/>
        <v/>
      </c>
      <c r="T235" s="632" t="str">
        <f t="shared" si="88"/>
        <v/>
      </c>
      <c r="U235" s="636" t="str">
        <f t="shared" si="89"/>
        <v/>
      </c>
      <c r="V235" s="637" t="str">
        <f t="shared" si="90"/>
        <v/>
      </c>
      <c r="W235" s="633" t="str">
        <f t="shared" si="91"/>
        <v/>
      </c>
      <c r="X235" s="632" t="str">
        <f t="shared" si="92"/>
        <v/>
      </c>
      <c r="Y235" s="634" t="str">
        <f t="shared" si="93"/>
        <v/>
      </c>
      <c r="Z235" s="635" t="str">
        <f t="shared" si="94"/>
        <v/>
      </c>
      <c r="AA235" s="633" t="str">
        <f t="shared" si="95"/>
        <v/>
      </c>
      <c r="AB235" s="632" t="str">
        <f t="shared" si="96"/>
        <v/>
      </c>
      <c r="AC235" s="634" t="str">
        <f t="shared" si="97"/>
        <v/>
      </c>
      <c r="AD235" s="635" t="str">
        <f t="shared" si="98"/>
        <v/>
      </c>
      <c r="AE235" s="633" t="str">
        <f t="shared" si="99"/>
        <v/>
      </c>
      <c r="AF235" s="632" t="str">
        <f t="shared" si="100"/>
        <v/>
      </c>
      <c r="AG235" s="636" t="str">
        <f t="shared" si="101"/>
        <v/>
      </c>
      <c r="AH235" s="637" t="str">
        <f t="shared" si="102"/>
        <v/>
      </c>
      <c r="AI235" s="633" t="str">
        <f t="shared" si="103"/>
        <v/>
      </c>
      <c r="AJ235" s="632" t="str">
        <f t="shared" si="104"/>
        <v/>
      </c>
      <c r="AK235" s="634" t="str">
        <f t="shared" si="105"/>
        <v/>
      </c>
      <c r="AL235" s="635" t="str">
        <f t="shared" si="106"/>
        <v/>
      </c>
      <c r="AM235" s="645" t="str">
        <f t="shared" si="107"/>
        <v/>
      </c>
      <c r="AN235" s="38"/>
    </row>
    <row r="236" spans="1:40" ht="13.2" x14ac:dyDescent="0.25">
      <c r="A236" s="26"/>
      <c r="B236" s="38"/>
      <c r="C236" s="261" t="s">
        <v>209</v>
      </c>
      <c r="D236" s="644" t="str">
        <f t="shared" si="111"/>
        <v/>
      </c>
      <c r="E236" s="635" t="str">
        <f t="shared" si="110"/>
        <v/>
      </c>
      <c r="F236" s="357"/>
      <c r="G236" s="357"/>
      <c r="H236" s="357"/>
      <c r="I236" s="357"/>
      <c r="J236" s="357"/>
      <c r="K236" s="357"/>
      <c r="L236" s="357"/>
      <c r="M236" s="38"/>
      <c r="N236" s="632" t="str">
        <f t="shared" si="84"/>
        <v/>
      </c>
      <c r="O236" s="633" t="str">
        <f t="shared" si="85"/>
        <v/>
      </c>
      <c r="P236" s="632" t="str">
        <f t="shared" si="108"/>
        <v/>
      </c>
      <c r="Q236" s="634" t="str">
        <f t="shared" si="86"/>
        <v/>
      </c>
      <c r="R236" s="635" t="str">
        <f t="shared" si="109"/>
        <v/>
      </c>
      <c r="S236" s="633" t="str">
        <f t="shared" si="87"/>
        <v/>
      </c>
      <c r="T236" s="632" t="str">
        <f t="shared" si="88"/>
        <v/>
      </c>
      <c r="U236" s="636" t="str">
        <f t="shared" si="89"/>
        <v/>
      </c>
      <c r="V236" s="637" t="str">
        <f t="shared" si="90"/>
        <v/>
      </c>
      <c r="W236" s="633" t="str">
        <f t="shared" si="91"/>
        <v/>
      </c>
      <c r="X236" s="632" t="str">
        <f t="shared" si="92"/>
        <v/>
      </c>
      <c r="Y236" s="634" t="str">
        <f t="shared" si="93"/>
        <v/>
      </c>
      <c r="Z236" s="635" t="str">
        <f t="shared" si="94"/>
        <v/>
      </c>
      <c r="AA236" s="633" t="str">
        <f t="shared" si="95"/>
        <v/>
      </c>
      <c r="AB236" s="632" t="str">
        <f t="shared" si="96"/>
        <v/>
      </c>
      <c r="AC236" s="634" t="str">
        <f t="shared" si="97"/>
        <v/>
      </c>
      <c r="AD236" s="635" t="str">
        <f t="shared" si="98"/>
        <v/>
      </c>
      <c r="AE236" s="633" t="str">
        <f t="shared" si="99"/>
        <v/>
      </c>
      <c r="AF236" s="632" t="str">
        <f t="shared" si="100"/>
        <v/>
      </c>
      <c r="AG236" s="636" t="str">
        <f t="shared" si="101"/>
        <v/>
      </c>
      <c r="AH236" s="637" t="str">
        <f t="shared" si="102"/>
        <v/>
      </c>
      <c r="AI236" s="633" t="str">
        <f t="shared" si="103"/>
        <v/>
      </c>
      <c r="AJ236" s="632" t="str">
        <f t="shared" si="104"/>
        <v/>
      </c>
      <c r="AK236" s="634" t="str">
        <f t="shared" si="105"/>
        <v/>
      </c>
      <c r="AL236" s="635" t="str">
        <f t="shared" si="106"/>
        <v/>
      </c>
      <c r="AM236" s="645" t="str">
        <f t="shared" si="107"/>
        <v/>
      </c>
      <c r="AN236" s="38"/>
    </row>
    <row r="237" spans="1:40" ht="13.2" x14ac:dyDescent="0.25">
      <c r="A237" s="26"/>
      <c r="B237" s="38"/>
      <c r="C237" s="261" t="s">
        <v>209</v>
      </c>
      <c r="D237" s="644" t="str">
        <f t="shared" si="111"/>
        <v/>
      </c>
      <c r="E237" s="635" t="str">
        <f t="shared" si="110"/>
        <v/>
      </c>
      <c r="F237" s="357"/>
      <c r="G237" s="357"/>
      <c r="H237" s="357"/>
      <c r="I237" s="357"/>
      <c r="J237" s="357"/>
      <c r="K237" s="357"/>
      <c r="L237" s="357"/>
      <c r="M237" s="38"/>
      <c r="N237" s="632" t="str">
        <f t="shared" si="84"/>
        <v/>
      </c>
      <c r="O237" s="633" t="str">
        <f t="shared" si="85"/>
        <v/>
      </c>
      <c r="P237" s="632" t="str">
        <f t="shared" si="108"/>
        <v/>
      </c>
      <c r="Q237" s="634" t="str">
        <f t="shared" si="86"/>
        <v/>
      </c>
      <c r="R237" s="635" t="str">
        <f t="shared" si="109"/>
        <v/>
      </c>
      <c r="S237" s="633" t="str">
        <f t="shared" si="87"/>
        <v/>
      </c>
      <c r="T237" s="632" t="str">
        <f t="shared" si="88"/>
        <v/>
      </c>
      <c r="U237" s="636" t="str">
        <f t="shared" si="89"/>
        <v/>
      </c>
      <c r="V237" s="637" t="str">
        <f t="shared" si="90"/>
        <v/>
      </c>
      <c r="W237" s="633" t="str">
        <f t="shared" si="91"/>
        <v/>
      </c>
      <c r="X237" s="632" t="str">
        <f t="shared" si="92"/>
        <v/>
      </c>
      <c r="Y237" s="634" t="str">
        <f t="shared" si="93"/>
        <v/>
      </c>
      <c r="Z237" s="635" t="str">
        <f t="shared" si="94"/>
        <v/>
      </c>
      <c r="AA237" s="633" t="str">
        <f t="shared" si="95"/>
        <v/>
      </c>
      <c r="AB237" s="632" t="str">
        <f t="shared" si="96"/>
        <v/>
      </c>
      <c r="AC237" s="634" t="str">
        <f t="shared" si="97"/>
        <v/>
      </c>
      <c r="AD237" s="635" t="str">
        <f t="shared" si="98"/>
        <v/>
      </c>
      <c r="AE237" s="633" t="str">
        <f t="shared" si="99"/>
        <v/>
      </c>
      <c r="AF237" s="632" t="str">
        <f t="shared" si="100"/>
        <v/>
      </c>
      <c r="AG237" s="636" t="str">
        <f t="shared" si="101"/>
        <v/>
      </c>
      <c r="AH237" s="637" t="str">
        <f t="shared" si="102"/>
        <v/>
      </c>
      <c r="AI237" s="633" t="str">
        <f t="shared" si="103"/>
        <v/>
      </c>
      <c r="AJ237" s="632" t="str">
        <f t="shared" si="104"/>
        <v/>
      </c>
      <c r="AK237" s="634" t="str">
        <f t="shared" si="105"/>
        <v/>
      </c>
      <c r="AL237" s="635" t="str">
        <f t="shared" si="106"/>
        <v/>
      </c>
      <c r="AM237" s="645" t="str">
        <f t="shared" si="107"/>
        <v/>
      </c>
      <c r="AN237" s="38"/>
    </row>
    <row r="238" spans="1:40" ht="13.2" x14ac:dyDescent="0.25">
      <c r="A238" s="26"/>
      <c r="B238" s="38"/>
      <c r="C238" s="261" t="s">
        <v>209</v>
      </c>
      <c r="D238" s="644" t="str">
        <f t="shared" si="111"/>
        <v/>
      </c>
      <c r="E238" s="635" t="str">
        <f t="shared" si="110"/>
        <v/>
      </c>
      <c r="F238" s="357"/>
      <c r="G238" s="357"/>
      <c r="H238" s="357"/>
      <c r="I238" s="357"/>
      <c r="J238" s="357"/>
      <c r="K238" s="357"/>
      <c r="L238" s="357"/>
      <c r="M238" s="38"/>
      <c r="N238" s="632" t="str">
        <f t="shared" si="84"/>
        <v/>
      </c>
      <c r="O238" s="633" t="str">
        <f t="shared" si="85"/>
        <v/>
      </c>
      <c r="P238" s="632" t="str">
        <f t="shared" si="108"/>
        <v/>
      </c>
      <c r="Q238" s="634" t="str">
        <f t="shared" si="86"/>
        <v/>
      </c>
      <c r="R238" s="635" t="str">
        <f t="shared" si="109"/>
        <v/>
      </c>
      <c r="S238" s="633" t="str">
        <f t="shared" si="87"/>
        <v/>
      </c>
      <c r="T238" s="632" t="str">
        <f t="shared" si="88"/>
        <v/>
      </c>
      <c r="U238" s="636" t="str">
        <f t="shared" si="89"/>
        <v/>
      </c>
      <c r="V238" s="637" t="str">
        <f t="shared" si="90"/>
        <v/>
      </c>
      <c r="W238" s="633" t="str">
        <f t="shared" si="91"/>
        <v/>
      </c>
      <c r="X238" s="632" t="str">
        <f t="shared" si="92"/>
        <v/>
      </c>
      <c r="Y238" s="634" t="str">
        <f t="shared" si="93"/>
        <v/>
      </c>
      <c r="Z238" s="635" t="str">
        <f t="shared" si="94"/>
        <v/>
      </c>
      <c r="AA238" s="633" t="str">
        <f t="shared" si="95"/>
        <v/>
      </c>
      <c r="AB238" s="632" t="str">
        <f t="shared" si="96"/>
        <v/>
      </c>
      <c r="AC238" s="634" t="str">
        <f t="shared" si="97"/>
        <v/>
      </c>
      <c r="AD238" s="635" t="str">
        <f t="shared" si="98"/>
        <v/>
      </c>
      <c r="AE238" s="633" t="str">
        <f t="shared" si="99"/>
        <v/>
      </c>
      <c r="AF238" s="632" t="str">
        <f t="shared" si="100"/>
        <v/>
      </c>
      <c r="AG238" s="636" t="str">
        <f t="shared" si="101"/>
        <v/>
      </c>
      <c r="AH238" s="637" t="str">
        <f t="shared" si="102"/>
        <v/>
      </c>
      <c r="AI238" s="633" t="str">
        <f t="shared" si="103"/>
        <v/>
      </c>
      <c r="AJ238" s="632" t="str">
        <f t="shared" si="104"/>
        <v/>
      </c>
      <c r="AK238" s="634" t="str">
        <f t="shared" si="105"/>
        <v/>
      </c>
      <c r="AL238" s="635" t="str">
        <f t="shared" si="106"/>
        <v/>
      </c>
      <c r="AM238" s="645" t="str">
        <f t="shared" si="107"/>
        <v/>
      </c>
      <c r="AN238" s="38"/>
    </row>
    <row r="239" spans="1:40" ht="13.2" x14ac:dyDescent="0.25">
      <c r="A239" s="26"/>
      <c r="B239" s="38"/>
      <c r="C239" s="261" t="s">
        <v>209</v>
      </c>
      <c r="D239" s="644" t="str">
        <f t="shared" si="111"/>
        <v/>
      </c>
      <c r="E239" s="635" t="str">
        <f t="shared" si="110"/>
        <v/>
      </c>
      <c r="F239" s="357"/>
      <c r="G239" s="357"/>
      <c r="H239" s="357"/>
      <c r="I239" s="357"/>
      <c r="J239" s="357"/>
      <c r="K239" s="357"/>
      <c r="L239" s="357"/>
      <c r="M239" s="38"/>
      <c r="N239" s="632" t="str">
        <f t="shared" si="84"/>
        <v/>
      </c>
      <c r="O239" s="633" t="str">
        <f t="shared" si="85"/>
        <v/>
      </c>
      <c r="P239" s="632" t="str">
        <f t="shared" si="108"/>
        <v/>
      </c>
      <c r="Q239" s="634" t="str">
        <f t="shared" si="86"/>
        <v/>
      </c>
      <c r="R239" s="635" t="str">
        <f t="shared" si="109"/>
        <v/>
      </c>
      <c r="S239" s="633" t="str">
        <f t="shared" si="87"/>
        <v/>
      </c>
      <c r="T239" s="632" t="str">
        <f t="shared" si="88"/>
        <v/>
      </c>
      <c r="U239" s="636" t="str">
        <f t="shared" si="89"/>
        <v/>
      </c>
      <c r="V239" s="637" t="str">
        <f t="shared" si="90"/>
        <v/>
      </c>
      <c r="W239" s="633" t="str">
        <f t="shared" si="91"/>
        <v/>
      </c>
      <c r="X239" s="632" t="str">
        <f t="shared" si="92"/>
        <v/>
      </c>
      <c r="Y239" s="634" t="str">
        <f t="shared" si="93"/>
        <v/>
      </c>
      <c r="Z239" s="635" t="str">
        <f t="shared" si="94"/>
        <v/>
      </c>
      <c r="AA239" s="633" t="str">
        <f t="shared" si="95"/>
        <v/>
      </c>
      <c r="AB239" s="632" t="str">
        <f t="shared" si="96"/>
        <v/>
      </c>
      <c r="AC239" s="634" t="str">
        <f t="shared" si="97"/>
        <v/>
      </c>
      <c r="AD239" s="635" t="str">
        <f t="shared" si="98"/>
        <v/>
      </c>
      <c r="AE239" s="633" t="str">
        <f t="shared" si="99"/>
        <v/>
      </c>
      <c r="AF239" s="632" t="str">
        <f t="shared" si="100"/>
        <v/>
      </c>
      <c r="AG239" s="636" t="str">
        <f t="shared" si="101"/>
        <v/>
      </c>
      <c r="AH239" s="637" t="str">
        <f t="shared" si="102"/>
        <v/>
      </c>
      <c r="AI239" s="633" t="str">
        <f t="shared" si="103"/>
        <v/>
      </c>
      <c r="AJ239" s="632" t="str">
        <f t="shared" si="104"/>
        <v/>
      </c>
      <c r="AK239" s="634" t="str">
        <f t="shared" si="105"/>
        <v/>
      </c>
      <c r="AL239" s="635" t="str">
        <f t="shared" si="106"/>
        <v/>
      </c>
      <c r="AM239" s="645" t="str">
        <f t="shared" si="107"/>
        <v/>
      </c>
      <c r="AN239" s="38"/>
    </row>
    <row r="240" spans="1:40" ht="13.2" x14ac:dyDescent="0.25">
      <c r="A240" s="26"/>
      <c r="B240" s="38"/>
      <c r="C240" s="261" t="s">
        <v>209</v>
      </c>
      <c r="D240" s="644" t="str">
        <f t="shared" si="111"/>
        <v/>
      </c>
      <c r="E240" s="635" t="str">
        <f t="shared" si="110"/>
        <v/>
      </c>
      <c r="F240" s="357"/>
      <c r="G240" s="357"/>
      <c r="H240" s="357"/>
      <c r="I240" s="357"/>
      <c r="J240" s="357"/>
      <c r="K240" s="357"/>
      <c r="L240" s="357"/>
      <c r="M240" s="38"/>
      <c r="N240" s="632" t="str">
        <f t="shared" si="84"/>
        <v/>
      </c>
      <c r="O240" s="633" t="str">
        <f t="shared" si="85"/>
        <v/>
      </c>
      <c r="P240" s="632" t="str">
        <f t="shared" si="108"/>
        <v/>
      </c>
      <c r="Q240" s="634" t="str">
        <f t="shared" si="86"/>
        <v/>
      </c>
      <c r="R240" s="635" t="str">
        <f t="shared" si="109"/>
        <v/>
      </c>
      <c r="S240" s="633" t="str">
        <f t="shared" si="87"/>
        <v/>
      </c>
      <c r="T240" s="632" t="str">
        <f t="shared" si="88"/>
        <v/>
      </c>
      <c r="U240" s="636" t="str">
        <f t="shared" si="89"/>
        <v/>
      </c>
      <c r="V240" s="637" t="str">
        <f t="shared" si="90"/>
        <v/>
      </c>
      <c r="W240" s="633" t="str">
        <f t="shared" si="91"/>
        <v/>
      </c>
      <c r="X240" s="632" t="str">
        <f t="shared" si="92"/>
        <v/>
      </c>
      <c r="Y240" s="634" t="str">
        <f t="shared" si="93"/>
        <v/>
      </c>
      <c r="Z240" s="635" t="str">
        <f t="shared" si="94"/>
        <v/>
      </c>
      <c r="AA240" s="633" t="str">
        <f t="shared" si="95"/>
        <v/>
      </c>
      <c r="AB240" s="632" t="str">
        <f t="shared" si="96"/>
        <v/>
      </c>
      <c r="AC240" s="634" t="str">
        <f t="shared" si="97"/>
        <v/>
      </c>
      <c r="AD240" s="635" t="str">
        <f t="shared" si="98"/>
        <v/>
      </c>
      <c r="AE240" s="633" t="str">
        <f t="shared" si="99"/>
        <v/>
      </c>
      <c r="AF240" s="632" t="str">
        <f t="shared" si="100"/>
        <v/>
      </c>
      <c r="AG240" s="636" t="str">
        <f t="shared" si="101"/>
        <v/>
      </c>
      <c r="AH240" s="637" t="str">
        <f t="shared" si="102"/>
        <v/>
      </c>
      <c r="AI240" s="633" t="str">
        <f t="shared" si="103"/>
        <v/>
      </c>
      <c r="AJ240" s="632" t="str">
        <f t="shared" si="104"/>
        <v/>
      </c>
      <c r="AK240" s="634" t="str">
        <f t="shared" si="105"/>
        <v/>
      </c>
      <c r="AL240" s="635" t="str">
        <f t="shared" si="106"/>
        <v/>
      </c>
      <c r="AM240" s="645" t="str">
        <f t="shared" si="107"/>
        <v/>
      </c>
      <c r="AN240" s="38"/>
    </row>
    <row r="241" spans="1:40" ht="13.2" x14ac:dyDescent="0.25">
      <c r="A241" s="26"/>
      <c r="B241" s="38"/>
      <c r="C241" s="261" t="s">
        <v>209</v>
      </c>
      <c r="D241" s="644" t="str">
        <f t="shared" si="111"/>
        <v/>
      </c>
      <c r="E241" s="635" t="str">
        <f t="shared" si="110"/>
        <v/>
      </c>
      <c r="F241" s="357"/>
      <c r="G241" s="357"/>
      <c r="H241" s="357"/>
      <c r="I241" s="357"/>
      <c r="J241" s="357"/>
      <c r="K241" s="357"/>
      <c r="L241" s="357"/>
      <c r="M241" s="38"/>
      <c r="N241" s="632" t="str">
        <f t="shared" si="84"/>
        <v/>
      </c>
      <c r="O241" s="633" t="str">
        <f t="shared" si="85"/>
        <v/>
      </c>
      <c r="P241" s="632" t="str">
        <f t="shared" si="108"/>
        <v/>
      </c>
      <c r="Q241" s="634" t="str">
        <f t="shared" si="86"/>
        <v/>
      </c>
      <c r="R241" s="635" t="str">
        <f t="shared" si="109"/>
        <v/>
      </c>
      <c r="S241" s="633" t="str">
        <f t="shared" si="87"/>
        <v/>
      </c>
      <c r="T241" s="632" t="str">
        <f t="shared" si="88"/>
        <v/>
      </c>
      <c r="U241" s="636" t="str">
        <f t="shared" si="89"/>
        <v/>
      </c>
      <c r="V241" s="637" t="str">
        <f t="shared" si="90"/>
        <v/>
      </c>
      <c r="W241" s="633" t="str">
        <f t="shared" si="91"/>
        <v/>
      </c>
      <c r="X241" s="632" t="str">
        <f t="shared" si="92"/>
        <v/>
      </c>
      <c r="Y241" s="634" t="str">
        <f t="shared" si="93"/>
        <v/>
      </c>
      <c r="Z241" s="635" t="str">
        <f t="shared" si="94"/>
        <v/>
      </c>
      <c r="AA241" s="633" t="str">
        <f t="shared" si="95"/>
        <v/>
      </c>
      <c r="AB241" s="632" t="str">
        <f t="shared" si="96"/>
        <v/>
      </c>
      <c r="AC241" s="634" t="str">
        <f t="shared" si="97"/>
        <v/>
      </c>
      <c r="AD241" s="635" t="str">
        <f t="shared" si="98"/>
        <v/>
      </c>
      <c r="AE241" s="633" t="str">
        <f t="shared" si="99"/>
        <v/>
      </c>
      <c r="AF241" s="632" t="str">
        <f t="shared" si="100"/>
        <v/>
      </c>
      <c r="AG241" s="636" t="str">
        <f t="shared" si="101"/>
        <v/>
      </c>
      <c r="AH241" s="637" t="str">
        <f t="shared" si="102"/>
        <v/>
      </c>
      <c r="AI241" s="633" t="str">
        <f t="shared" si="103"/>
        <v/>
      </c>
      <c r="AJ241" s="632" t="str">
        <f t="shared" si="104"/>
        <v/>
      </c>
      <c r="AK241" s="634" t="str">
        <f t="shared" si="105"/>
        <v/>
      </c>
      <c r="AL241" s="635" t="str">
        <f t="shared" si="106"/>
        <v/>
      </c>
      <c r="AM241" s="645" t="str">
        <f t="shared" si="107"/>
        <v/>
      </c>
      <c r="AN241" s="38"/>
    </row>
    <row r="242" spans="1:40" ht="13.2" x14ac:dyDescent="0.25">
      <c r="A242" s="26"/>
      <c r="B242" s="38"/>
      <c r="C242" s="261" t="s">
        <v>441</v>
      </c>
      <c r="D242" s="644" t="str">
        <f t="shared" si="111"/>
        <v/>
      </c>
      <c r="E242" s="635" t="str">
        <f t="shared" si="110"/>
        <v/>
      </c>
      <c r="F242" s="357"/>
      <c r="G242" s="357"/>
      <c r="H242" s="357"/>
      <c r="I242" s="357"/>
      <c r="J242" s="357"/>
      <c r="K242" s="357"/>
      <c r="L242" s="357"/>
      <c r="M242" s="38"/>
      <c r="N242" s="632" t="str">
        <f t="shared" si="84"/>
        <v/>
      </c>
      <c r="O242" s="633" t="str">
        <f t="shared" si="85"/>
        <v/>
      </c>
      <c r="P242" s="632" t="str">
        <f t="shared" si="108"/>
        <v/>
      </c>
      <c r="Q242" s="634" t="str">
        <f t="shared" si="86"/>
        <v/>
      </c>
      <c r="R242" s="635" t="str">
        <f t="shared" si="109"/>
        <v/>
      </c>
      <c r="S242" s="633" t="str">
        <f t="shared" si="87"/>
        <v/>
      </c>
      <c r="T242" s="632" t="str">
        <f t="shared" si="88"/>
        <v/>
      </c>
      <c r="U242" s="636" t="str">
        <f t="shared" si="89"/>
        <v/>
      </c>
      <c r="V242" s="637" t="str">
        <f t="shared" si="90"/>
        <v/>
      </c>
      <c r="W242" s="633" t="str">
        <f t="shared" si="91"/>
        <v/>
      </c>
      <c r="X242" s="632" t="str">
        <f t="shared" si="92"/>
        <v/>
      </c>
      <c r="Y242" s="634" t="str">
        <f t="shared" si="93"/>
        <v/>
      </c>
      <c r="Z242" s="635" t="str">
        <f t="shared" si="94"/>
        <v/>
      </c>
      <c r="AA242" s="633" t="str">
        <f t="shared" si="95"/>
        <v/>
      </c>
      <c r="AB242" s="632" t="str">
        <f t="shared" si="96"/>
        <v/>
      </c>
      <c r="AC242" s="634" t="str">
        <f t="shared" si="97"/>
        <v/>
      </c>
      <c r="AD242" s="635" t="str">
        <f t="shared" si="98"/>
        <v/>
      </c>
      <c r="AE242" s="633" t="str">
        <f t="shared" si="99"/>
        <v/>
      </c>
      <c r="AF242" s="632" t="str">
        <f t="shared" si="100"/>
        <v/>
      </c>
      <c r="AG242" s="636" t="str">
        <f t="shared" si="101"/>
        <v/>
      </c>
      <c r="AH242" s="637" t="str">
        <f t="shared" si="102"/>
        <v/>
      </c>
      <c r="AI242" s="633" t="str">
        <f t="shared" si="103"/>
        <v/>
      </c>
      <c r="AJ242" s="632" t="str">
        <f t="shared" si="104"/>
        <v/>
      </c>
      <c r="AK242" s="634" t="str">
        <f t="shared" si="105"/>
        <v/>
      </c>
      <c r="AL242" s="635" t="str">
        <f t="shared" si="106"/>
        <v/>
      </c>
      <c r="AM242" s="645" t="str">
        <f t="shared" si="107"/>
        <v/>
      </c>
      <c r="AN242" s="38"/>
    </row>
    <row r="243" spans="1:40" ht="13.2" x14ac:dyDescent="0.25">
      <c r="A243" s="26"/>
      <c r="B243" s="38"/>
      <c r="C243" s="261" t="s">
        <v>441</v>
      </c>
      <c r="D243" s="644" t="str">
        <f t="shared" si="111"/>
        <v/>
      </c>
      <c r="E243" s="635" t="str">
        <f t="shared" si="110"/>
        <v/>
      </c>
      <c r="F243" s="357"/>
      <c r="G243" s="357"/>
      <c r="H243" s="357"/>
      <c r="I243" s="357"/>
      <c r="J243" s="357"/>
      <c r="K243" s="357"/>
      <c r="L243" s="357"/>
      <c r="M243" s="38"/>
      <c r="N243" s="632" t="str">
        <f t="shared" si="84"/>
        <v/>
      </c>
      <c r="O243" s="633" t="str">
        <f t="shared" si="85"/>
        <v/>
      </c>
      <c r="P243" s="632" t="str">
        <f t="shared" si="108"/>
        <v/>
      </c>
      <c r="Q243" s="634" t="str">
        <f t="shared" si="86"/>
        <v/>
      </c>
      <c r="R243" s="635" t="str">
        <f t="shared" si="109"/>
        <v/>
      </c>
      <c r="S243" s="633" t="str">
        <f t="shared" si="87"/>
        <v/>
      </c>
      <c r="T243" s="632" t="str">
        <f t="shared" si="88"/>
        <v/>
      </c>
      <c r="U243" s="636" t="str">
        <f t="shared" si="89"/>
        <v/>
      </c>
      <c r="V243" s="637" t="str">
        <f t="shared" si="90"/>
        <v/>
      </c>
      <c r="W243" s="633" t="str">
        <f t="shared" si="91"/>
        <v/>
      </c>
      <c r="X243" s="632" t="str">
        <f t="shared" si="92"/>
        <v/>
      </c>
      <c r="Y243" s="634" t="str">
        <f t="shared" si="93"/>
        <v/>
      </c>
      <c r="Z243" s="635" t="str">
        <f t="shared" si="94"/>
        <v/>
      </c>
      <c r="AA243" s="633" t="str">
        <f t="shared" si="95"/>
        <v/>
      </c>
      <c r="AB243" s="632" t="str">
        <f t="shared" si="96"/>
        <v/>
      </c>
      <c r="AC243" s="634" t="str">
        <f t="shared" si="97"/>
        <v/>
      </c>
      <c r="AD243" s="635" t="str">
        <f t="shared" si="98"/>
        <v/>
      </c>
      <c r="AE243" s="633" t="str">
        <f t="shared" si="99"/>
        <v/>
      </c>
      <c r="AF243" s="632" t="str">
        <f t="shared" si="100"/>
        <v/>
      </c>
      <c r="AG243" s="636" t="str">
        <f t="shared" si="101"/>
        <v/>
      </c>
      <c r="AH243" s="637" t="str">
        <f t="shared" si="102"/>
        <v/>
      </c>
      <c r="AI243" s="633" t="str">
        <f t="shared" si="103"/>
        <v/>
      </c>
      <c r="AJ243" s="632" t="str">
        <f t="shared" si="104"/>
        <v/>
      </c>
      <c r="AK243" s="634" t="str">
        <f t="shared" si="105"/>
        <v/>
      </c>
      <c r="AL243" s="635" t="str">
        <f t="shared" si="106"/>
        <v/>
      </c>
      <c r="AM243" s="645" t="str">
        <f t="shared" si="107"/>
        <v/>
      </c>
      <c r="AN243" s="38"/>
    </row>
    <row r="244" spans="1:40" ht="13.2" x14ac:dyDescent="0.25">
      <c r="A244" s="26"/>
      <c r="B244" s="38"/>
      <c r="C244" s="261" t="s">
        <v>441</v>
      </c>
      <c r="D244" s="644" t="str">
        <f t="shared" si="111"/>
        <v/>
      </c>
      <c r="E244" s="635" t="str">
        <f t="shared" si="110"/>
        <v/>
      </c>
      <c r="F244" s="357"/>
      <c r="G244" s="357"/>
      <c r="H244" s="357"/>
      <c r="I244" s="357"/>
      <c r="J244" s="357"/>
      <c r="K244" s="357"/>
      <c r="L244" s="357"/>
      <c r="M244" s="38"/>
      <c r="N244" s="632" t="str">
        <f t="shared" si="84"/>
        <v/>
      </c>
      <c r="O244" s="633" t="str">
        <f t="shared" si="85"/>
        <v/>
      </c>
      <c r="P244" s="632" t="str">
        <f t="shared" si="108"/>
        <v/>
      </c>
      <c r="Q244" s="634" t="str">
        <f t="shared" si="86"/>
        <v/>
      </c>
      <c r="R244" s="635" t="str">
        <f t="shared" si="109"/>
        <v/>
      </c>
      <c r="S244" s="633" t="str">
        <f t="shared" si="87"/>
        <v/>
      </c>
      <c r="T244" s="632" t="str">
        <f t="shared" si="88"/>
        <v/>
      </c>
      <c r="U244" s="636" t="str">
        <f t="shared" si="89"/>
        <v/>
      </c>
      <c r="V244" s="637" t="str">
        <f t="shared" si="90"/>
        <v/>
      </c>
      <c r="W244" s="633" t="str">
        <f t="shared" si="91"/>
        <v/>
      </c>
      <c r="X244" s="632" t="str">
        <f t="shared" si="92"/>
        <v/>
      </c>
      <c r="Y244" s="634" t="str">
        <f t="shared" si="93"/>
        <v/>
      </c>
      <c r="Z244" s="635" t="str">
        <f t="shared" si="94"/>
        <v/>
      </c>
      <c r="AA244" s="633" t="str">
        <f t="shared" si="95"/>
        <v/>
      </c>
      <c r="AB244" s="632" t="str">
        <f t="shared" si="96"/>
        <v/>
      </c>
      <c r="AC244" s="634" t="str">
        <f t="shared" si="97"/>
        <v/>
      </c>
      <c r="AD244" s="635" t="str">
        <f t="shared" si="98"/>
        <v/>
      </c>
      <c r="AE244" s="633" t="str">
        <f t="shared" si="99"/>
        <v/>
      </c>
      <c r="AF244" s="632" t="str">
        <f t="shared" si="100"/>
        <v/>
      </c>
      <c r="AG244" s="636" t="str">
        <f t="shared" si="101"/>
        <v/>
      </c>
      <c r="AH244" s="637" t="str">
        <f t="shared" si="102"/>
        <v/>
      </c>
      <c r="AI244" s="633" t="str">
        <f t="shared" si="103"/>
        <v/>
      </c>
      <c r="AJ244" s="632" t="str">
        <f t="shared" si="104"/>
        <v/>
      </c>
      <c r="AK244" s="634" t="str">
        <f t="shared" si="105"/>
        <v/>
      </c>
      <c r="AL244" s="635" t="str">
        <f t="shared" si="106"/>
        <v/>
      </c>
      <c r="AM244" s="645" t="str">
        <f t="shared" si="107"/>
        <v/>
      </c>
      <c r="AN244" s="38"/>
    </row>
    <row r="245" spans="1:40" ht="13.2" x14ac:dyDescent="0.25">
      <c r="A245" s="26"/>
      <c r="B245" s="38"/>
      <c r="C245" s="261" t="s">
        <v>441</v>
      </c>
      <c r="D245" s="644" t="str">
        <f t="shared" si="111"/>
        <v/>
      </c>
      <c r="E245" s="635" t="str">
        <f t="shared" si="110"/>
        <v/>
      </c>
      <c r="F245" s="357"/>
      <c r="G245" s="357"/>
      <c r="H245" s="357"/>
      <c r="I245" s="357"/>
      <c r="J245" s="357"/>
      <c r="K245" s="357"/>
      <c r="L245" s="357"/>
      <c r="M245" s="38"/>
      <c r="N245" s="632" t="str">
        <f t="shared" si="84"/>
        <v/>
      </c>
      <c r="O245" s="633" t="str">
        <f t="shared" si="85"/>
        <v/>
      </c>
      <c r="P245" s="632" t="str">
        <f t="shared" si="108"/>
        <v/>
      </c>
      <c r="Q245" s="634" t="str">
        <f t="shared" si="86"/>
        <v/>
      </c>
      <c r="R245" s="635" t="str">
        <f t="shared" si="109"/>
        <v/>
      </c>
      <c r="S245" s="633" t="str">
        <f t="shared" si="87"/>
        <v/>
      </c>
      <c r="T245" s="632" t="str">
        <f t="shared" si="88"/>
        <v/>
      </c>
      <c r="U245" s="636" t="str">
        <f t="shared" si="89"/>
        <v/>
      </c>
      <c r="V245" s="637" t="str">
        <f t="shared" si="90"/>
        <v/>
      </c>
      <c r="W245" s="633" t="str">
        <f t="shared" si="91"/>
        <v/>
      </c>
      <c r="X245" s="632" t="str">
        <f t="shared" si="92"/>
        <v/>
      </c>
      <c r="Y245" s="634" t="str">
        <f t="shared" si="93"/>
        <v/>
      </c>
      <c r="Z245" s="635" t="str">
        <f t="shared" si="94"/>
        <v/>
      </c>
      <c r="AA245" s="633" t="str">
        <f t="shared" si="95"/>
        <v/>
      </c>
      <c r="AB245" s="632" t="str">
        <f t="shared" si="96"/>
        <v/>
      </c>
      <c r="AC245" s="634" t="str">
        <f t="shared" si="97"/>
        <v/>
      </c>
      <c r="AD245" s="635" t="str">
        <f t="shared" si="98"/>
        <v/>
      </c>
      <c r="AE245" s="633" t="str">
        <f t="shared" si="99"/>
        <v/>
      </c>
      <c r="AF245" s="632" t="str">
        <f t="shared" si="100"/>
        <v/>
      </c>
      <c r="AG245" s="636" t="str">
        <f t="shared" si="101"/>
        <v/>
      </c>
      <c r="AH245" s="637" t="str">
        <f t="shared" si="102"/>
        <v/>
      </c>
      <c r="AI245" s="633" t="str">
        <f t="shared" si="103"/>
        <v/>
      </c>
      <c r="AJ245" s="632" t="str">
        <f t="shared" si="104"/>
        <v/>
      </c>
      <c r="AK245" s="634" t="str">
        <f t="shared" si="105"/>
        <v/>
      </c>
      <c r="AL245" s="635" t="str">
        <f t="shared" si="106"/>
        <v/>
      </c>
      <c r="AM245" s="645" t="str">
        <f t="shared" si="107"/>
        <v/>
      </c>
      <c r="AN245" s="38"/>
    </row>
    <row r="246" spans="1:40" ht="13.2" x14ac:dyDescent="0.25">
      <c r="A246" s="26"/>
      <c r="B246" s="38"/>
      <c r="C246" s="261" t="s">
        <v>441</v>
      </c>
      <c r="D246" s="644" t="str">
        <f t="shared" si="111"/>
        <v/>
      </c>
      <c r="E246" s="635" t="str">
        <f t="shared" si="110"/>
        <v/>
      </c>
      <c r="F246" s="357"/>
      <c r="G246" s="357"/>
      <c r="H246" s="357"/>
      <c r="I246" s="357"/>
      <c r="J246" s="357"/>
      <c r="K246" s="357"/>
      <c r="L246" s="357"/>
      <c r="M246" s="38"/>
      <c r="N246" s="632" t="str">
        <f t="shared" si="84"/>
        <v/>
      </c>
      <c r="O246" s="633" t="str">
        <f t="shared" si="85"/>
        <v/>
      </c>
      <c r="P246" s="632" t="str">
        <f t="shared" si="108"/>
        <v/>
      </c>
      <c r="Q246" s="634" t="str">
        <f t="shared" si="86"/>
        <v/>
      </c>
      <c r="R246" s="635" t="str">
        <f t="shared" si="109"/>
        <v/>
      </c>
      <c r="S246" s="633" t="str">
        <f t="shared" si="87"/>
        <v/>
      </c>
      <c r="T246" s="632" t="str">
        <f t="shared" si="88"/>
        <v/>
      </c>
      <c r="U246" s="636" t="str">
        <f t="shared" si="89"/>
        <v/>
      </c>
      <c r="V246" s="637" t="str">
        <f t="shared" si="90"/>
        <v/>
      </c>
      <c r="W246" s="633" t="str">
        <f t="shared" si="91"/>
        <v/>
      </c>
      <c r="X246" s="632" t="str">
        <f t="shared" si="92"/>
        <v/>
      </c>
      <c r="Y246" s="634" t="str">
        <f t="shared" si="93"/>
        <v/>
      </c>
      <c r="Z246" s="635" t="str">
        <f t="shared" si="94"/>
        <v/>
      </c>
      <c r="AA246" s="633" t="str">
        <f t="shared" si="95"/>
        <v/>
      </c>
      <c r="AB246" s="632" t="str">
        <f t="shared" si="96"/>
        <v/>
      </c>
      <c r="AC246" s="634" t="str">
        <f t="shared" si="97"/>
        <v/>
      </c>
      <c r="AD246" s="635" t="str">
        <f t="shared" si="98"/>
        <v/>
      </c>
      <c r="AE246" s="633" t="str">
        <f t="shared" si="99"/>
        <v/>
      </c>
      <c r="AF246" s="632" t="str">
        <f t="shared" si="100"/>
        <v/>
      </c>
      <c r="AG246" s="636" t="str">
        <f t="shared" si="101"/>
        <v/>
      </c>
      <c r="AH246" s="637" t="str">
        <f t="shared" si="102"/>
        <v/>
      </c>
      <c r="AI246" s="633" t="str">
        <f t="shared" si="103"/>
        <v/>
      </c>
      <c r="AJ246" s="632" t="str">
        <f t="shared" si="104"/>
        <v/>
      </c>
      <c r="AK246" s="634" t="str">
        <f t="shared" si="105"/>
        <v/>
      </c>
      <c r="AL246" s="635" t="str">
        <f t="shared" si="106"/>
        <v/>
      </c>
      <c r="AM246" s="645" t="str">
        <f t="shared" si="107"/>
        <v/>
      </c>
      <c r="AN246" s="38"/>
    </row>
    <row r="247" spans="1:40" ht="13.2" x14ac:dyDescent="0.25">
      <c r="A247" s="26"/>
      <c r="B247" s="38"/>
      <c r="C247" s="261" t="s">
        <v>441</v>
      </c>
      <c r="D247" s="644" t="str">
        <f t="shared" si="111"/>
        <v/>
      </c>
      <c r="E247" s="635" t="str">
        <f t="shared" si="110"/>
        <v/>
      </c>
      <c r="F247" s="357"/>
      <c r="G247" s="357"/>
      <c r="H247" s="357"/>
      <c r="I247" s="357"/>
      <c r="J247" s="357"/>
      <c r="K247" s="357"/>
      <c r="L247" s="357"/>
      <c r="M247" s="38"/>
      <c r="N247" s="632" t="str">
        <f t="shared" si="84"/>
        <v/>
      </c>
      <c r="O247" s="633" t="str">
        <f t="shared" si="85"/>
        <v/>
      </c>
      <c r="P247" s="632" t="str">
        <f t="shared" si="108"/>
        <v/>
      </c>
      <c r="Q247" s="634" t="str">
        <f t="shared" si="86"/>
        <v/>
      </c>
      <c r="R247" s="635" t="str">
        <f t="shared" si="109"/>
        <v/>
      </c>
      <c r="S247" s="633" t="str">
        <f t="shared" si="87"/>
        <v/>
      </c>
      <c r="T247" s="632" t="str">
        <f t="shared" si="88"/>
        <v/>
      </c>
      <c r="U247" s="636" t="str">
        <f t="shared" si="89"/>
        <v/>
      </c>
      <c r="V247" s="637" t="str">
        <f t="shared" si="90"/>
        <v/>
      </c>
      <c r="W247" s="633" t="str">
        <f t="shared" si="91"/>
        <v/>
      </c>
      <c r="X247" s="632" t="str">
        <f t="shared" si="92"/>
        <v/>
      </c>
      <c r="Y247" s="634" t="str">
        <f t="shared" si="93"/>
        <v/>
      </c>
      <c r="Z247" s="635" t="str">
        <f t="shared" si="94"/>
        <v/>
      </c>
      <c r="AA247" s="633" t="str">
        <f t="shared" si="95"/>
        <v/>
      </c>
      <c r="AB247" s="632" t="str">
        <f t="shared" si="96"/>
        <v/>
      </c>
      <c r="AC247" s="634" t="str">
        <f t="shared" si="97"/>
        <v/>
      </c>
      <c r="AD247" s="635" t="str">
        <f t="shared" si="98"/>
        <v/>
      </c>
      <c r="AE247" s="633" t="str">
        <f t="shared" si="99"/>
        <v/>
      </c>
      <c r="AF247" s="632" t="str">
        <f t="shared" si="100"/>
        <v/>
      </c>
      <c r="AG247" s="636" t="str">
        <f t="shared" si="101"/>
        <v/>
      </c>
      <c r="AH247" s="637" t="str">
        <f t="shared" si="102"/>
        <v/>
      </c>
      <c r="AI247" s="633" t="str">
        <f t="shared" si="103"/>
        <v/>
      </c>
      <c r="AJ247" s="632" t="str">
        <f t="shared" si="104"/>
        <v/>
      </c>
      <c r="AK247" s="634" t="str">
        <f t="shared" si="105"/>
        <v/>
      </c>
      <c r="AL247" s="635" t="str">
        <f t="shared" si="106"/>
        <v/>
      </c>
      <c r="AM247" s="645" t="str">
        <f t="shared" si="107"/>
        <v/>
      </c>
      <c r="AN247" s="38"/>
    </row>
    <row r="248" spans="1:40" ht="13.2" x14ac:dyDescent="0.25">
      <c r="A248" s="26"/>
      <c r="B248" s="38"/>
      <c r="C248" s="261" t="s">
        <v>441</v>
      </c>
      <c r="D248" s="644" t="str">
        <f t="shared" si="111"/>
        <v/>
      </c>
      <c r="E248" s="635" t="str">
        <f t="shared" si="110"/>
        <v/>
      </c>
      <c r="F248" s="357"/>
      <c r="G248" s="357"/>
      <c r="H248" s="357"/>
      <c r="I248" s="357"/>
      <c r="J248" s="357"/>
      <c r="K248" s="357"/>
      <c r="L248" s="357"/>
      <c r="M248" s="38"/>
      <c r="N248" s="632" t="str">
        <f t="shared" si="84"/>
        <v/>
      </c>
      <c r="O248" s="633" t="str">
        <f t="shared" si="85"/>
        <v/>
      </c>
      <c r="P248" s="632" t="str">
        <f t="shared" si="108"/>
        <v/>
      </c>
      <c r="Q248" s="634" t="str">
        <f t="shared" si="86"/>
        <v/>
      </c>
      <c r="R248" s="635" t="str">
        <f t="shared" si="109"/>
        <v/>
      </c>
      <c r="S248" s="633" t="str">
        <f t="shared" si="87"/>
        <v/>
      </c>
      <c r="T248" s="632" t="str">
        <f t="shared" si="88"/>
        <v/>
      </c>
      <c r="U248" s="636" t="str">
        <f t="shared" si="89"/>
        <v/>
      </c>
      <c r="V248" s="637" t="str">
        <f t="shared" si="90"/>
        <v/>
      </c>
      <c r="W248" s="633" t="str">
        <f t="shared" si="91"/>
        <v/>
      </c>
      <c r="X248" s="632" t="str">
        <f t="shared" si="92"/>
        <v/>
      </c>
      <c r="Y248" s="634" t="str">
        <f t="shared" si="93"/>
        <v/>
      </c>
      <c r="Z248" s="635" t="str">
        <f t="shared" si="94"/>
        <v/>
      </c>
      <c r="AA248" s="633" t="str">
        <f t="shared" si="95"/>
        <v/>
      </c>
      <c r="AB248" s="632" t="str">
        <f t="shared" si="96"/>
        <v/>
      </c>
      <c r="AC248" s="634" t="str">
        <f t="shared" si="97"/>
        <v/>
      </c>
      <c r="AD248" s="635" t="str">
        <f t="shared" si="98"/>
        <v/>
      </c>
      <c r="AE248" s="633" t="str">
        <f t="shared" si="99"/>
        <v/>
      </c>
      <c r="AF248" s="632" t="str">
        <f t="shared" si="100"/>
        <v/>
      </c>
      <c r="AG248" s="636" t="str">
        <f t="shared" si="101"/>
        <v/>
      </c>
      <c r="AH248" s="637" t="str">
        <f t="shared" si="102"/>
        <v/>
      </c>
      <c r="AI248" s="633" t="str">
        <f t="shared" si="103"/>
        <v/>
      </c>
      <c r="AJ248" s="632" t="str">
        <f t="shared" si="104"/>
        <v/>
      </c>
      <c r="AK248" s="634" t="str">
        <f t="shared" si="105"/>
        <v/>
      </c>
      <c r="AL248" s="635" t="str">
        <f t="shared" si="106"/>
        <v/>
      </c>
      <c r="AM248" s="645" t="str">
        <f t="shared" si="107"/>
        <v/>
      </c>
      <c r="AN248" s="38"/>
    </row>
    <row r="249" spans="1:40" ht="13.2" x14ac:dyDescent="0.25">
      <c r="A249" s="26"/>
      <c r="B249" s="38"/>
      <c r="C249" s="261" t="s">
        <v>441</v>
      </c>
      <c r="D249" s="644" t="str">
        <f t="shared" si="111"/>
        <v/>
      </c>
      <c r="E249" s="635" t="str">
        <f t="shared" si="110"/>
        <v/>
      </c>
      <c r="F249" s="357"/>
      <c r="G249" s="357"/>
      <c r="H249" s="357"/>
      <c r="I249" s="357"/>
      <c r="J249" s="357"/>
      <c r="K249" s="357"/>
      <c r="L249" s="357"/>
      <c r="M249" s="38"/>
      <c r="N249" s="632" t="str">
        <f t="shared" si="84"/>
        <v/>
      </c>
      <c r="O249" s="633" t="str">
        <f t="shared" si="85"/>
        <v/>
      </c>
      <c r="P249" s="632" t="str">
        <f t="shared" si="108"/>
        <v/>
      </c>
      <c r="Q249" s="634" t="str">
        <f t="shared" si="86"/>
        <v/>
      </c>
      <c r="R249" s="635" t="str">
        <f t="shared" si="109"/>
        <v/>
      </c>
      <c r="S249" s="633" t="str">
        <f t="shared" si="87"/>
        <v/>
      </c>
      <c r="T249" s="632" t="str">
        <f t="shared" si="88"/>
        <v/>
      </c>
      <c r="U249" s="636" t="str">
        <f t="shared" si="89"/>
        <v/>
      </c>
      <c r="V249" s="637" t="str">
        <f t="shared" si="90"/>
        <v/>
      </c>
      <c r="W249" s="633" t="str">
        <f t="shared" si="91"/>
        <v/>
      </c>
      <c r="X249" s="632" t="str">
        <f t="shared" si="92"/>
        <v/>
      </c>
      <c r="Y249" s="634" t="str">
        <f t="shared" si="93"/>
        <v/>
      </c>
      <c r="Z249" s="635" t="str">
        <f t="shared" si="94"/>
        <v/>
      </c>
      <c r="AA249" s="633" t="str">
        <f t="shared" si="95"/>
        <v/>
      </c>
      <c r="AB249" s="632" t="str">
        <f t="shared" si="96"/>
        <v/>
      </c>
      <c r="AC249" s="634" t="str">
        <f t="shared" si="97"/>
        <v/>
      </c>
      <c r="AD249" s="635" t="str">
        <f t="shared" si="98"/>
        <v/>
      </c>
      <c r="AE249" s="633" t="str">
        <f t="shared" si="99"/>
        <v/>
      </c>
      <c r="AF249" s="632" t="str">
        <f t="shared" si="100"/>
        <v/>
      </c>
      <c r="AG249" s="636" t="str">
        <f t="shared" si="101"/>
        <v/>
      </c>
      <c r="AH249" s="637" t="str">
        <f t="shared" si="102"/>
        <v/>
      </c>
      <c r="AI249" s="633" t="str">
        <f t="shared" si="103"/>
        <v/>
      </c>
      <c r="AJ249" s="632" t="str">
        <f t="shared" si="104"/>
        <v/>
      </c>
      <c r="AK249" s="634" t="str">
        <f t="shared" si="105"/>
        <v/>
      </c>
      <c r="AL249" s="635" t="str">
        <f t="shared" si="106"/>
        <v/>
      </c>
      <c r="AM249" s="645" t="str">
        <f t="shared" si="107"/>
        <v/>
      </c>
      <c r="AN249" s="38"/>
    </row>
    <row r="250" spans="1:40" ht="13.2" x14ac:dyDescent="0.25">
      <c r="A250" s="26"/>
      <c r="B250" s="38"/>
      <c r="C250" s="261" t="s">
        <v>441</v>
      </c>
      <c r="D250" s="644" t="str">
        <f t="shared" si="111"/>
        <v/>
      </c>
      <c r="E250" s="635" t="str">
        <f t="shared" si="110"/>
        <v/>
      </c>
      <c r="F250" s="357"/>
      <c r="G250" s="357"/>
      <c r="H250" s="357"/>
      <c r="I250" s="357"/>
      <c r="J250" s="357"/>
      <c r="K250" s="357"/>
      <c r="L250" s="357"/>
      <c r="M250" s="38"/>
      <c r="N250" s="632" t="str">
        <f t="shared" si="84"/>
        <v/>
      </c>
      <c r="O250" s="633" t="str">
        <f t="shared" si="85"/>
        <v/>
      </c>
      <c r="P250" s="632" t="str">
        <f t="shared" si="108"/>
        <v/>
      </c>
      <c r="Q250" s="634" t="str">
        <f t="shared" si="86"/>
        <v/>
      </c>
      <c r="R250" s="635" t="str">
        <f t="shared" si="109"/>
        <v/>
      </c>
      <c r="S250" s="633" t="str">
        <f t="shared" si="87"/>
        <v/>
      </c>
      <c r="T250" s="632" t="str">
        <f t="shared" ref="T250:T304" si="113">IF(H250=0,"",IF(G250=0,"",H250-G250))</f>
        <v/>
      </c>
      <c r="U250" s="636" t="str">
        <f t="shared" si="89"/>
        <v/>
      </c>
      <c r="V250" s="637" t="str">
        <f t="shared" si="90"/>
        <v/>
      </c>
      <c r="W250" s="633" t="str">
        <f t="shared" si="91"/>
        <v/>
      </c>
      <c r="X250" s="632" t="str">
        <f t="shared" ref="X250:X304" si="114">IF(I250=0,"",IF(H250=0,"",I250-H250))</f>
        <v/>
      </c>
      <c r="Y250" s="634" t="str">
        <f t="shared" si="93"/>
        <v/>
      </c>
      <c r="Z250" s="635" t="str">
        <f t="shared" si="94"/>
        <v/>
      </c>
      <c r="AA250" s="633" t="str">
        <f t="shared" si="95"/>
        <v/>
      </c>
      <c r="AB250" s="632" t="str">
        <f t="shared" ref="AB250:AB304" si="115">IF(J250=0,"",IF(I250=0,"",J250-I250))</f>
        <v/>
      </c>
      <c r="AC250" s="634" t="str">
        <f t="shared" si="97"/>
        <v/>
      </c>
      <c r="AD250" s="635" t="str">
        <f t="shared" si="98"/>
        <v/>
      </c>
      <c r="AE250" s="633" t="str">
        <f t="shared" si="99"/>
        <v/>
      </c>
      <c r="AF250" s="632" t="str">
        <f t="shared" ref="AF250:AF304" si="116">IF(K250=0,"",IF(J250=0,"",K250-J250))</f>
        <v/>
      </c>
      <c r="AG250" s="636" t="str">
        <f t="shared" si="101"/>
        <v/>
      </c>
      <c r="AH250" s="637" t="str">
        <f t="shared" si="102"/>
        <v/>
      </c>
      <c r="AI250" s="633" t="str">
        <f t="shared" si="103"/>
        <v/>
      </c>
      <c r="AJ250" s="632" t="str">
        <f t="shared" ref="AJ250:AJ304" si="117">IF(L250=0,"",IF(K250=0,"",L250-K250))</f>
        <v/>
      </c>
      <c r="AK250" s="634" t="str">
        <f t="shared" si="105"/>
        <v/>
      </c>
      <c r="AL250" s="635" t="str">
        <f t="shared" si="106"/>
        <v/>
      </c>
      <c r="AM250" s="645" t="str">
        <f t="shared" si="107"/>
        <v/>
      </c>
      <c r="AN250" s="38"/>
    </row>
    <row r="251" spans="1:40" ht="13.2" x14ac:dyDescent="0.25">
      <c r="A251" s="26"/>
      <c r="B251" s="38"/>
      <c r="C251" s="261" t="s">
        <v>441</v>
      </c>
      <c r="D251" s="644" t="str">
        <f t="shared" si="111"/>
        <v/>
      </c>
      <c r="E251" s="635" t="str">
        <f t="shared" si="110"/>
        <v/>
      </c>
      <c r="F251" s="357"/>
      <c r="G251" s="357"/>
      <c r="H251" s="357"/>
      <c r="I251" s="357"/>
      <c r="J251" s="357"/>
      <c r="K251" s="357"/>
      <c r="L251" s="357"/>
      <c r="M251" s="38"/>
      <c r="N251" s="632" t="str">
        <f t="shared" si="84"/>
        <v/>
      </c>
      <c r="O251" s="633" t="str">
        <f t="shared" si="85"/>
        <v/>
      </c>
      <c r="P251" s="632" t="str">
        <f t="shared" ref="P251:P304" si="118">IF(G251=0,"",IF(F251=0,"",G251-F251))</f>
        <v/>
      </c>
      <c r="Q251" s="634" t="str">
        <f t="shared" si="86"/>
        <v/>
      </c>
      <c r="R251" s="635" t="str">
        <f t="shared" ref="R251:R304" si="119">IF(P251="","",P251+N251)</f>
        <v/>
      </c>
      <c r="S251" s="633" t="str">
        <f t="shared" si="87"/>
        <v/>
      </c>
      <c r="T251" s="632" t="str">
        <f t="shared" si="113"/>
        <v/>
      </c>
      <c r="U251" s="636" t="str">
        <f t="shared" si="89"/>
        <v/>
      </c>
      <c r="V251" s="637" t="str">
        <f t="shared" si="90"/>
        <v/>
      </c>
      <c r="W251" s="633" t="str">
        <f t="shared" si="91"/>
        <v/>
      </c>
      <c r="X251" s="632" t="str">
        <f t="shared" si="114"/>
        <v/>
      </c>
      <c r="Y251" s="634" t="str">
        <f t="shared" si="93"/>
        <v/>
      </c>
      <c r="Z251" s="635" t="str">
        <f t="shared" si="94"/>
        <v/>
      </c>
      <c r="AA251" s="633" t="str">
        <f t="shared" si="95"/>
        <v/>
      </c>
      <c r="AB251" s="632" t="str">
        <f t="shared" si="115"/>
        <v/>
      </c>
      <c r="AC251" s="634" t="str">
        <f t="shared" si="97"/>
        <v/>
      </c>
      <c r="AD251" s="635" t="str">
        <f t="shared" si="98"/>
        <v/>
      </c>
      <c r="AE251" s="633" t="str">
        <f t="shared" si="99"/>
        <v/>
      </c>
      <c r="AF251" s="632" t="str">
        <f t="shared" si="116"/>
        <v/>
      </c>
      <c r="AG251" s="636" t="str">
        <f t="shared" si="101"/>
        <v/>
      </c>
      <c r="AH251" s="637" t="str">
        <f t="shared" si="102"/>
        <v/>
      </c>
      <c r="AI251" s="633" t="str">
        <f t="shared" si="103"/>
        <v/>
      </c>
      <c r="AJ251" s="632" t="str">
        <f t="shared" si="117"/>
        <v/>
      </c>
      <c r="AK251" s="634" t="str">
        <f t="shared" si="105"/>
        <v/>
      </c>
      <c r="AL251" s="635" t="str">
        <f t="shared" si="106"/>
        <v/>
      </c>
      <c r="AM251" s="645" t="str">
        <f t="shared" si="107"/>
        <v/>
      </c>
      <c r="AN251" s="38"/>
    </row>
    <row r="252" spans="1:40" ht="13.2" x14ac:dyDescent="0.25">
      <c r="A252" s="26"/>
      <c r="B252" s="38"/>
      <c r="C252" s="261" t="s">
        <v>441</v>
      </c>
      <c r="D252" s="644" t="str">
        <f t="shared" si="111"/>
        <v/>
      </c>
      <c r="E252" s="635" t="str">
        <f t="shared" si="110"/>
        <v/>
      </c>
      <c r="F252" s="357"/>
      <c r="G252" s="357"/>
      <c r="H252" s="357"/>
      <c r="I252" s="357"/>
      <c r="J252" s="357"/>
      <c r="K252" s="357"/>
      <c r="L252" s="357"/>
      <c r="M252" s="38"/>
      <c r="N252" s="632" t="str">
        <f t="shared" si="84"/>
        <v/>
      </c>
      <c r="O252" s="633" t="str">
        <f t="shared" si="85"/>
        <v/>
      </c>
      <c r="P252" s="632" t="str">
        <f t="shared" si="118"/>
        <v/>
      </c>
      <c r="Q252" s="634" t="str">
        <f t="shared" si="86"/>
        <v/>
      </c>
      <c r="R252" s="635" t="str">
        <f t="shared" si="119"/>
        <v/>
      </c>
      <c r="S252" s="633" t="str">
        <f t="shared" si="87"/>
        <v/>
      </c>
      <c r="T252" s="632" t="str">
        <f t="shared" si="113"/>
        <v/>
      </c>
      <c r="U252" s="636" t="str">
        <f t="shared" si="89"/>
        <v/>
      </c>
      <c r="V252" s="637" t="str">
        <f t="shared" si="90"/>
        <v/>
      </c>
      <c r="W252" s="633" t="str">
        <f t="shared" si="91"/>
        <v/>
      </c>
      <c r="X252" s="632" t="str">
        <f t="shared" si="114"/>
        <v/>
      </c>
      <c r="Y252" s="634" t="str">
        <f t="shared" si="93"/>
        <v/>
      </c>
      <c r="Z252" s="635" t="str">
        <f t="shared" si="94"/>
        <v/>
      </c>
      <c r="AA252" s="633" t="str">
        <f t="shared" si="95"/>
        <v/>
      </c>
      <c r="AB252" s="632" t="str">
        <f t="shared" si="115"/>
        <v/>
      </c>
      <c r="AC252" s="634" t="str">
        <f t="shared" si="97"/>
        <v/>
      </c>
      <c r="AD252" s="635" t="str">
        <f t="shared" si="98"/>
        <v/>
      </c>
      <c r="AE252" s="633" t="str">
        <f t="shared" si="99"/>
        <v/>
      </c>
      <c r="AF252" s="632" t="str">
        <f t="shared" si="116"/>
        <v/>
      </c>
      <c r="AG252" s="636" t="str">
        <f t="shared" si="101"/>
        <v/>
      </c>
      <c r="AH252" s="637" t="str">
        <f t="shared" si="102"/>
        <v/>
      </c>
      <c r="AI252" s="633" t="str">
        <f t="shared" si="103"/>
        <v/>
      </c>
      <c r="AJ252" s="632" t="str">
        <f t="shared" si="117"/>
        <v/>
      </c>
      <c r="AK252" s="634" t="str">
        <f t="shared" si="105"/>
        <v/>
      </c>
      <c r="AL252" s="635" t="str">
        <f t="shared" si="106"/>
        <v/>
      </c>
      <c r="AM252" s="645" t="str">
        <f t="shared" si="107"/>
        <v/>
      </c>
      <c r="AN252" s="38"/>
    </row>
    <row r="253" spans="1:40" ht="13.2" x14ac:dyDescent="0.25">
      <c r="A253" s="26"/>
      <c r="B253" s="38"/>
      <c r="C253" s="261" t="s">
        <v>441</v>
      </c>
      <c r="D253" s="644" t="str">
        <f t="shared" si="111"/>
        <v/>
      </c>
      <c r="E253" s="635" t="str">
        <f t="shared" si="110"/>
        <v/>
      </c>
      <c r="F253" s="357"/>
      <c r="G253" s="357"/>
      <c r="H253" s="357"/>
      <c r="I253" s="357"/>
      <c r="J253" s="357"/>
      <c r="K253" s="357"/>
      <c r="L253" s="357"/>
      <c r="M253" s="38"/>
      <c r="N253" s="632" t="str">
        <f t="shared" si="84"/>
        <v/>
      </c>
      <c r="O253" s="633" t="str">
        <f t="shared" si="85"/>
        <v/>
      </c>
      <c r="P253" s="632" t="str">
        <f t="shared" si="118"/>
        <v/>
      </c>
      <c r="Q253" s="634" t="str">
        <f t="shared" si="86"/>
        <v/>
      </c>
      <c r="R253" s="635" t="str">
        <f t="shared" si="119"/>
        <v/>
      </c>
      <c r="S253" s="633" t="str">
        <f t="shared" si="87"/>
        <v/>
      </c>
      <c r="T253" s="632" t="str">
        <f t="shared" si="113"/>
        <v/>
      </c>
      <c r="U253" s="636" t="str">
        <f t="shared" si="89"/>
        <v/>
      </c>
      <c r="V253" s="637" t="str">
        <f t="shared" si="90"/>
        <v/>
      </c>
      <c r="W253" s="633" t="str">
        <f t="shared" si="91"/>
        <v/>
      </c>
      <c r="X253" s="632" t="str">
        <f t="shared" si="114"/>
        <v/>
      </c>
      <c r="Y253" s="634" t="str">
        <f t="shared" si="93"/>
        <v/>
      </c>
      <c r="Z253" s="635" t="str">
        <f t="shared" si="94"/>
        <v/>
      </c>
      <c r="AA253" s="633" t="str">
        <f t="shared" si="95"/>
        <v/>
      </c>
      <c r="AB253" s="632" t="str">
        <f t="shared" si="115"/>
        <v/>
      </c>
      <c r="AC253" s="634" t="str">
        <f t="shared" si="97"/>
        <v/>
      </c>
      <c r="AD253" s="635" t="str">
        <f t="shared" si="98"/>
        <v/>
      </c>
      <c r="AE253" s="633" t="str">
        <f t="shared" si="99"/>
        <v/>
      </c>
      <c r="AF253" s="632" t="str">
        <f t="shared" si="116"/>
        <v/>
      </c>
      <c r="AG253" s="636" t="str">
        <f t="shared" si="101"/>
        <v/>
      </c>
      <c r="AH253" s="637" t="str">
        <f t="shared" si="102"/>
        <v/>
      </c>
      <c r="AI253" s="633" t="str">
        <f t="shared" si="103"/>
        <v/>
      </c>
      <c r="AJ253" s="632" t="str">
        <f t="shared" si="117"/>
        <v/>
      </c>
      <c r="AK253" s="634" t="str">
        <f t="shared" si="105"/>
        <v/>
      </c>
      <c r="AL253" s="635" t="str">
        <f t="shared" si="106"/>
        <v/>
      </c>
      <c r="AM253" s="645" t="str">
        <f t="shared" si="107"/>
        <v/>
      </c>
      <c r="AN253" s="38"/>
    </row>
    <row r="254" spans="1:40" ht="13.2" x14ac:dyDescent="0.25">
      <c r="A254" s="26"/>
      <c r="B254" s="38"/>
      <c r="C254" s="261" t="s">
        <v>441</v>
      </c>
      <c r="D254" s="644" t="str">
        <f t="shared" si="111"/>
        <v/>
      </c>
      <c r="E254" s="635" t="str">
        <f t="shared" si="110"/>
        <v/>
      </c>
      <c r="F254" s="357"/>
      <c r="G254" s="357"/>
      <c r="H254" s="357"/>
      <c r="I254" s="357"/>
      <c r="J254" s="357"/>
      <c r="K254" s="357"/>
      <c r="L254" s="357"/>
      <c r="M254" s="38"/>
      <c r="N254" s="632" t="str">
        <f t="shared" si="84"/>
        <v/>
      </c>
      <c r="O254" s="633" t="str">
        <f t="shared" si="85"/>
        <v/>
      </c>
      <c r="P254" s="632" t="str">
        <f t="shared" si="118"/>
        <v/>
      </c>
      <c r="Q254" s="634" t="str">
        <f t="shared" si="86"/>
        <v/>
      </c>
      <c r="R254" s="635" t="str">
        <f t="shared" si="119"/>
        <v/>
      </c>
      <c r="S254" s="633" t="str">
        <f t="shared" si="87"/>
        <v/>
      </c>
      <c r="T254" s="632" t="str">
        <f t="shared" si="113"/>
        <v/>
      </c>
      <c r="U254" s="636" t="str">
        <f t="shared" si="89"/>
        <v/>
      </c>
      <c r="V254" s="637" t="str">
        <f t="shared" si="90"/>
        <v/>
      </c>
      <c r="W254" s="633" t="str">
        <f t="shared" si="91"/>
        <v/>
      </c>
      <c r="X254" s="632" t="str">
        <f t="shared" si="114"/>
        <v/>
      </c>
      <c r="Y254" s="634" t="str">
        <f t="shared" si="93"/>
        <v/>
      </c>
      <c r="Z254" s="635" t="str">
        <f t="shared" si="94"/>
        <v/>
      </c>
      <c r="AA254" s="633" t="str">
        <f t="shared" si="95"/>
        <v/>
      </c>
      <c r="AB254" s="632" t="str">
        <f t="shared" si="115"/>
        <v/>
      </c>
      <c r="AC254" s="634" t="str">
        <f t="shared" si="97"/>
        <v/>
      </c>
      <c r="AD254" s="635" t="str">
        <f t="shared" si="98"/>
        <v/>
      </c>
      <c r="AE254" s="633" t="str">
        <f t="shared" si="99"/>
        <v/>
      </c>
      <c r="AF254" s="632" t="str">
        <f t="shared" si="116"/>
        <v/>
      </c>
      <c r="AG254" s="636" t="str">
        <f t="shared" si="101"/>
        <v/>
      </c>
      <c r="AH254" s="637" t="str">
        <f t="shared" si="102"/>
        <v/>
      </c>
      <c r="AI254" s="633" t="str">
        <f t="shared" si="103"/>
        <v/>
      </c>
      <c r="AJ254" s="632" t="str">
        <f t="shared" si="117"/>
        <v/>
      </c>
      <c r="AK254" s="634" t="str">
        <f t="shared" si="105"/>
        <v/>
      </c>
      <c r="AL254" s="635" t="str">
        <f t="shared" si="106"/>
        <v/>
      </c>
      <c r="AM254" s="645" t="str">
        <f t="shared" si="107"/>
        <v/>
      </c>
      <c r="AN254" s="38"/>
    </row>
    <row r="255" spans="1:40" ht="13.2" x14ac:dyDescent="0.25">
      <c r="A255" s="26"/>
      <c r="B255" s="38"/>
      <c r="C255" s="261" t="s">
        <v>441</v>
      </c>
      <c r="D255" s="644" t="str">
        <f t="shared" si="111"/>
        <v/>
      </c>
      <c r="E255" s="635" t="str">
        <f t="shared" si="110"/>
        <v/>
      </c>
      <c r="F255" s="357"/>
      <c r="G255" s="357"/>
      <c r="H255" s="357"/>
      <c r="I255" s="357"/>
      <c r="J255" s="357"/>
      <c r="K255" s="357"/>
      <c r="L255" s="357"/>
      <c r="M255" s="38"/>
      <c r="N255" s="632" t="str">
        <f t="shared" si="84"/>
        <v/>
      </c>
      <c r="O255" s="633" t="str">
        <f t="shared" si="85"/>
        <v/>
      </c>
      <c r="P255" s="632" t="str">
        <f t="shared" si="118"/>
        <v/>
      </c>
      <c r="Q255" s="634" t="str">
        <f t="shared" si="86"/>
        <v/>
      </c>
      <c r="R255" s="635" t="str">
        <f t="shared" si="119"/>
        <v/>
      </c>
      <c r="S255" s="633" t="str">
        <f t="shared" si="87"/>
        <v/>
      </c>
      <c r="T255" s="632" t="str">
        <f t="shared" si="113"/>
        <v/>
      </c>
      <c r="U255" s="636" t="str">
        <f t="shared" si="89"/>
        <v/>
      </c>
      <c r="V255" s="637" t="str">
        <f t="shared" si="90"/>
        <v/>
      </c>
      <c r="W255" s="633" t="str">
        <f t="shared" si="91"/>
        <v/>
      </c>
      <c r="X255" s="632" t="str">
        <f t="shared" si="114"/>
        <v/>
      </c>
      <c r="Y255" s="634" t="str">
        <f t="shared" si="93"/>
        <v/>
      </c>
      <c r="Z255" s="635" t="str">
        <f t="shared" si="94"/>
        <v/>
      </c>
      <c r="AA255" s="633" t="str">
        <f t="shared" si="95"/>
        <v/>
      </c>
      <c r="AB255" s="632" t="str">
        <f t="shared" si="115"/>
        <v/>
      </c>
      <c r="AC255" s="634" t="str">
        <f t="shared" si="97"/>
        <v/>
      </c>
      <c r="AD255" s="635" t="str">
        <f t="shared" si="98"/>
        <v/>
      </c>
      <c r="AE255" s="633" t="str">
        <f t="shared" si="99"/>
        <v/>
      </c>
      <c r="AF255" s="632" t="str">
        <f t="shared" si="116"/>
        <v/>
      </c>
      <c r="AG255" s="636" t="str">
        <f t="shared" si="101"/>
        <v/>
      </c>
      <c r="AH255" s="637" t="str">
        <f t="shared" si="102"/>
        <v/>
      </c>
      <c r="AI255" s="633" t="str">
        <f t="shared" si="103"/>
        <v/>
      </c>
      <c r="AJ255" s="632" t="str">
        <f t="shared" si="117"/>
        <v/>
      </c>
      <c r="AK255" s="634" t="str">
        <f t="shared" si="105"/>
        <v/>
      </c>
      <c r="AL255" s="635" t="str">
        <f t="shared" si="106"/>
        <v/>
      </c>
      <c r="AM255" s="645" t="str">
        <f t="shared" si="107"/>
        <v/>
      </c>
      <c r="AN255" s="38"/>
    </row>
    <row r="256" spans="1:40" ht="13.2" x14ac:dyDescent="0.25">
      <c r="A256" s="26"/>
      <c r="B256" s="38"/>
      <c r="C256" s="261" t="s">
        <v>441</v>
      </c>
      <c r="D256" s="644" t="str">
        <f t="shared" si="111"/>
        <v/>
      </c>
      <c r="E256" s="635" t="str">
        <f t="shared" si="110"/>
        <v/>
      </c>
      <c r="F256" s="357"/>
      <c r="G256" s="357"/>
      <c r="H256" s="357"/>
      <c r="I256" s="357"/>
      <c r="J256" s="357"/>
      <c r="K256" s="357"/>
      <c r="L256" s="357"/>
      <c r="M256" s="38"/>
      <c r="N256" s="632" t="str">
        <f t="shared" si="84"/>
        <v/>
      </c>
      <c r="O256" s="633" t="str">
        <f t="shared" si="85"/>
        <v/>
      </c>
      <c r="P256" s="632" t="str">
        <f t="shared" si="118"/>
        <v/>
      </c>
      <c r="Q256" s="634" t="str">
        <f t="shared" si="86"/>
        <v/>
      </c>
      <c r="R256" s="635" t="str">
        <f t="shared" si="119"/>
        <v/>
      </c>
      <c r="S256" s="633" t="str">
        <f t="shared" si="87"/>
        <v/>
      </c>
      <c r="T256" s="632" t="str">
        <f t="shared" si="113"/>
        <v/>
      </c>
      <c r="U256" s="636" t="str">
        <f t="shared" si="89"/>
        <v/>
      </c>
      <c r="V256" s="637" t="str">
        <f t="shared" si="90"/>
        <v/>
      </c>
      <c r="W256" s="633" t="str">
        <f t="shared" si="91"/>
        <v/>
      </c>
      <c r="X256" s="632" t="str">
        <f t="shared" si="114"/>
        <v/>
      </c>
      <c r="Y256" s="634" t="str">
        <f t="shared" si="93"/>
        <v/>
      </c>
      <c r="Z256" s="635" t="str">
        <f t="shared" si="94"/>
        <v/>
      </c>
      <c r="AA256" s="633" t="str">
        <f t="shared" si="95"/>
        <v/>
      </c>
      <c r="AB256" s="632" t="str">
        <f t="shared" si="115"/>
        <v/>
      </c>
      <c r="AC256" s="634" t="str">
        <f t="shared" si="97"/>
        <v/>
      </c>
      <c r="AD256" s="635" t="str">
        <f t="shared" si="98"/>
        <v/>
      </c>
      <c r="AE256" s="633" t="str">
        <f t="shared" si="99"/>
        <v/>
      </c>
      <c r="AF256" s="632" t="str">
        <f t="shared" si="116"/>
        <v/>
      </c>
      <c r="AG256" s="636" t="str">
        <f t="shared" si="101"/>
        <v/>
      </c>
      <c r="AH256" s="637" t="str">
        <f t="shared" si="102"/>
        <v/>
      </c>
      <c r="AI256" s="633" t="str">
        <f t="shared" si="103"/>
        <v/>
      </c>
      <c r="AJ256" s="632" t="str">
        <f t="shared" si="117"/>
        <v/>
      </c>
      <c r="AK256" s="634" t="str">
        <f t="shared" si="105"/>
        <v/>
      </c>
      <c r="AL256" s="635" t="str">
        <f t="shared" si="106"/>
        <v/>
      </c>
      <c r="AM256" s="645" t="str">
        <f t="shared" si="107"/>
        <v/>
      </c>
      <c r="AN256" s="38"/>
    </row>
    <row r="257" spans="1:40" ht="13.2" x14ac:dyDescent="0.25">
      <c r="A257" s="26"/>
      <c r="B257" s="38"/>
      <c r="C257" s="261" t="s">
        <v>441</v>
      </c>
      <c r="D257" s="644" t="str">
        <f t="shared" si="111"/>
        <v/>
      </c>
      <c r="E257" s="635" t="str">
        <f t="shared" si="110"/>
        <v/>
      </c>
      <c r="F257" s="357"/>
      <c r="G257" s="357"/>
      <c r="H257" s="357"/>
      <c r="I257" s="357"/>
      <c r="J257" s="357"/>
      <c r="K257" s="357"/>
      <c r="L257" s="357"/>
      <c r="M257" s="38"/>
      <c r="N257" s="632" t="str">
        <f t="shared" si="84"/>
        <v/>
      </c>
      <c r="O257" s="633" t="str">
        <f t="shared" si="85"/>
        <v/>
      </c>
      <c r="P257" s="632" t="str">
        <f t="shared" si="118"/>
        <v/>
      </c>
      <c r="Q257" s="634" t="str">
        <f t="shared" si="86"/>
        <v/>
      </c>
      <c r="R257" s="635" t="str">
        <f t="shared" si="119"/>
        <v/>
      </c>
      <c r="S257" s="633" t="str">
        <f t="shared" si="87"/>
        <v/>
      </c>
      <c r="T257" s="632" t="str">
        <f t="shared" si="113"/>
        <v/>
      </c>
      <c r="U257" s="636" t="str">
        <f t="shared" si="89"/>
        <v/>
      </c>
      <c r="V257" s="637" t="str">
        <f t="shared" si="90"/>
        <v/>
      </c>
      <c r="W257" s="633" t="str">
        <f t="shared" si="91"/>
        <v/>
      </c>
      <c r="X257" s="632" t="str">
        <f t="shared" si="114"/>
        <v/>
      </c>
      <c r="Y257" s="634" t="str">
        <f t="shared" si="93"/>
        <v/>
      </c>
      <c r="Z257" s="635" t="str">
        <f t="shared" si="94"/>
        <v/>
      </c>
      <c r="AA257" s="633" t="str">
        <f t="shared" si="95"/>
        <v/>
      </c>
      <c r="AB257" s="632" t="str">
        <f t="shared" si="115"/>
        <v/>
      </c>
      <c r="AC257" s="634" t="str">
        <f t="shared" si="97"/>
        <v/>
      </c>
      <c r="AD257" s="635" t="str">
        <f t="shared" si="98"/>
        <v/>
      </c>
      <c r="AE257" s="633" t="str">
        <f t="shared" si="99"/>
        <v/>
      </c>
      <c r="AF257" s="632" t="str">
        <f t="shared" si="116"/>
        <v/>
      </c>
      <c r="AG257" s="636" t="str">
        <f t="shared" si="101"/>
        <v/>
      </c>
      <c r="AH257" s="637" t="str">
        <f t="shared" si="102"/>
        <v/>
      </c>
      <c r="AI257" s="633" t="str">
        <f t="shared" si="103"/>
        <v/>
      </c>
      <c r="AJ257" s="632" t="str">
        <f t="shared" si="117"/>
        <v/>
      </c>
      <c r="AK257" s="634" t="str">
        <f t="shared" si="105"/>
        <v/>
      </c>
      <c r="AL257" s="635" t="str">
        <f t="shared" si="106"/>
        <v/>
      </c>
      <c r="AM257" s="645" t="str">
        <f t="shared" si="107"/>
        <v/>
      </c>
      <c r="AN257" s="38"/>
    </row>
    <row r="258" spans="1:40" ht="13.2" x14ac:dyDescent="0.25">
      <c r="A258" s="26"/>
      <c r="B258" s="38"/>
      <c r="C258" s="261" t="s">
        <v>441</v>
      </c>
      <c r="D258" s="644" t="str">
        <f t="shared" si="111"/>
        <v/>
      </c>
      <c r="E258" s="635" t="str">
        <f t="shared" si="110"/>
        <v/>
      </c>
      <c r="F258" s="357"/>
      <c r="G258" s="357"/>
      <c r="H258" s="357"/>
      <c r="I258" s="357"/>
      <c r="J258" s="357"/>
      <c r="K258" s="357"/>
      <c r="L258" s="357"/>
      <c r="M258" s="38"/>
      <c r="N258" s="632" t="str">
        <f t="shared" si="84"/>
        <v/>
      </c>
      <c r="O258" s="633" t="str">
        <f t="shared" si="85"/>
        <v/>
      </c>
      <c r="P258" s="632" t="str">
        <f t="shared" si="118"/>
        <v/>
      </c>
      <c r="Q258" s="634" t="str">
        <f t="shared" si="86"/>
        <v/>
      </c>
      <c r="R258" s="635" t="str">
        <f t="shared" si="119"/>
        <v/>
      </c>
      <c r="S258" s="633" t="str">
        <f t="shared" si="87"/>
        <v/>
      </c>
      <c r="T258" s="632" t="str">
        <f t="shared" si="113"/>
        <v/>
      </c>
      <c r="U258" s="636" t="str">
        <f t="shared" si="89"/>
        <v/>
      </c>
      <c r="V258" s="637" t="str">
        <f t="shared" si="90"/>
        <v/>
      </c>
      <c r="W258" s="633" t="str">
        <f t="shared" si="91"/>
        <v/>
      </c>
      <c r="X258" s="632" t="str">
        <f t="shared" si="114"/>
        <v/>
      </c>
      <c r="Y258" s="634" t="str">
        <f t="shared" si="93"/>
        <v/>
      </c>
      <c r="Z258" s="635" t="str">
        <f t="shared" si="94"/>
        <v/>
      </c>
      <c r="AA258" s="633" t="str">
        <f t="shared" si="95"/>
        <v/>
      </c>
      <c r="AB258" s="632" t="str">
        <f t="shared" si="115"/>
        <v/>
      </c>
      <c r="AC258" s="634" t="str">
        <f t="shared" si="97"/>
        <v/>
      </c>
      <c r="AD258" s="635" t="str">
        <f t="shared" si="98"/>
        <v/>
      </c>
      <c r="AE258" s="633" t="str">
        <f t="shared" si="99"/>
        <v/>
      </c>
      <c r="AF258" s="632" t="str">
        <f t="shared" si="116"/>
        <v/>
      </c>
      <c r="AG258" s="636" t="str">
        <f t="shared" si="101"/>
        <v/>
      </c>
      <c r="AH258" s="637" t="str">
        <f t="shared" si="102"/>
        <v/>
      </c>
      <c r="AI258" s="633" t="str">
        <f t="shared" si="103"/>
        <v/>
      </c>
      <c r="AJ258" s="632" t="str">
        <f t="shared" si="117"/>
        <v/>
      </c>
      <c r="AK258" s="634" t="str">
        <f t="shared" si="105"/>
        <v/>
      </c>
      <c r="AL258" s="635" t="str">
        <f t="shared" si="106"/>
        <v/>
      </c>
      <c r="AM258" s="645" t="str">
        <f t="shared" si="107"/>
        <v/>
      </c>
      <c r="AN258" s="38"/>
    </row>
    <row r="259" spans="1:40" ht="13.2" x14ac:dyDescent="0.25">
      <c r="A259" s="26"/>
      <c r="B259" s="38"/>
      <c r="C259" s="261" t="s">
        <v>441</v>
      </c>
      <c r="D259" s="644" t="str">
        <f t="shared" si="111"/>
        <v/>
      </c>
      <c r="E259" s="635" t="str">
        <f t="shared" si="110"/>
        <v/>
      </c>
      <c r="F259" s="357"/>
      <c r="G259" s="357"/>
      <c r="H259" s="357"/>
      <c r="I259" s="357"/>
      <c r="J259" s="357"/>
      <c r="K259" s="357"/>
      <c r="L259" s="357"/>
      <c r="M259" s="38"/>
      <c r="N259" s="632" t="str">
        <f t="shared" si="84"/>
        <v/>
      </c>
      <c r="O259" s="633" t="str">
        <f t="shared" si="85"/>
        <v/>
      </c>
      <c r="P259" s="632" t="str">
        <f t="shared" si="118"/>
        <v/>
      </c>
      <c r="Q259" s="634" t="str">
        <f t="shared" si="86"/>
        <v/>
      </c>
      <c r="R259" s="635" t="str">
        <f t="shared" si="119"/>
        <v/>
      </c>
      <c r="S259" s="633" t="str">
        <f t="shared" si="87"/>
        <v/>
      </c>
      <c r="T259" s="632" t="str">
        <f t="shared" si="113"/>
        <v/>
      </c>
      <c r="U259" s="636" t="str">
        <f t="shared" si="89"/>
        <v/>
      </c>
      <c r="V259" s="637" t="str">
        <f t="shared" si="90"/>
        <v/>
      </c>
      <c r="W259" s="633" t="str">
        <f t="shared" si="91"/>
        <v/>
      </c>
      <c r="X259" s="632" t="str">
        <f t="shared" si="114"/>
        <v/>
      </c>
      <c r="Y259" s="634" t="str">
        <f t="shared" si="93"/>
        <v/>
      </c>
      <c r="Z259" s="635" t="str">
        <f t="shared" si="94"/>
        <v/>
      </c>
      <c r="AA259" s="633" t="str">
        <f t="shared" si="95"/>
        <v/>
      </c>
      <c r="AB259" s="632" t="str">
        <f t="shared" si="115"/>
        <v/>
      </c>
      <c r="AC259" s="634" t="str">
        <f t="shared" si="97"/>
        <v/>
      </c>
      <c r="AD259" s="635" t="str">
        <f t="shared" si="98"/>
        <v/>
      </c>
      <c r="AE259" s="633" t="str">
        <f t="shared" si="99"/>
        <v/>
      </c>
      <c r="AF259" s="632" t="str">
        <f t="shared" si="116"/>
        <v/>
      </c>
      <c r="AG259" s="636" t="str">
        <f t="shared" si="101"/>
        <v/>
      </c>
      <c r="AH259" s="637" t="str">
        <f t="shared" si="102"/>
        <v/>
      </c>
      <c r="AI259" s="633" t="str">
        <f t="shared" si="103"/>
        <v/>
      </c>
      <c r="AJ259" s="632" t="str">
        <f t="shared" si="117"/>
        <v/>
      </c>
      <c r="AK259" s="634" t="str">
        <f t="shared" si="105"/>
        <v/>
      </c>
      <c r="AL259" s="635" t="str">
        <f t="shared" si="106"/>
        <v/>
      </c>
      <c r="AM259" s="645" t="str">
        <f t="shared" si="107"/>
        <v/>
      </c>
      <c r="AN259" s="38"/>
    </row>
    <row r="260" spans="1:40" ht="13.2" x14ac:dyDescent="0.25">
      <c r="A260" s="26"/>
      <c r="B260" s="38"/>
      <c r="C260" s="261" t="s">
        <v>441</v>
      </c>
      <c r="D260" s="644" t="str">
        <f t="shared" si="111"/>
        <v/>
      </c>
      <c r="E260" s="635" t="str">
        <f t="shared" si="110"/>
        <v/>
      </c>
      <c r="F260" s="357"/>
      <c r="G260" s="357"/>
      <c r="H260" s="357"/>
      <c r="I260" s="357"/>
      <c r="J260" s="357"/>
      <c r="K260" s="357"/>
      <c r="L260" s="357"/>
      <c r="M260" s="38"/>
      <c r="N260" s="632" t="str">
        <f t="shared" si="84"/>
        <v/>
      </c>
      <c r="O260" s="633" t="str">
        <f t="shared" si="85"/>
        <v/>
      </c>
      <c r="P260" s="632" t="str">
        <f t="shared" si="118"/>
        <v/>
      </c>
      <c r="Q260" s="634" t="str">
        <f t="shared" si="86"/>
        <v/>
      </c>
      <c r="R260" s="635" t="str">
        <f t="shared" si="119"/>
        <v/>
      </c>
      <c r="S260" s="633" t="str">
        <f t="shared" si="87"/>
        <v/>
      </c>
      <c r="T260" s="632" t="str">
        <f t="shared" si="113"/>
        <v/>
      </c>
      <c r="U260" s="636" t="str">
        <f t="shared" si="89"/>
        <v/>
      </c>
      <c r="V260" s="637" t="str">
        <f t="shared" si="90"/>
        <v/>
      </c>
      <c r="W260" s="633" t="str">
        <f t="shared" si="91"/>
        <v/>
      </c>
      <c r="X260" s="632" t="str">
        <f t="shared" si="114"/>
        <v/>
      </c>
      <c r="Y260" s="634" t="str">
        <f t="shared" si="93"/>
        <v/>
      </c>
      <c r="Z260" s="635" t="str">
        <f t="shared" si="94"/>
        <v/>
      </c>
      <c r="AA260" s="633" t="str">
        <f t="shared" si="95"/>
        <v/>
      </c>
      <c r="AB260" s="632" t="str">
        <f t="shared" si="115"/>
        <v/>
      </c>
      <c r="AC260" s="634" t="str">
        <f t="shared" si="97"/>
        <v/>
      </c>
      <c r="AD260" s="635" t="str">
        <f t="shared" si="98"/>
        <v/>
      </c>
      <c r="AE260" s="633" t="str">
        <f t="shared" si="99"/>
        <v/>
      </c>
      <c r="AF260" s="632" t="str">
        <f t="shared" si="116"/>
        <v/>
      </c>
      <c r="AG260" s="636" t="str">
        <f t="shared" si="101"/>
        <v/>
      </c>
      <c r="AH260" s="637" t="str">
        <f t="shared" si="102"/>
        <v/>
      </c>
      <c r="AI260" s="633" t="str">
        <f t="shared" si="103"/>
        <v/>
      </c>
      <c r="AJ260" s="632" t="str">
        <f t="shared" si="117"/>
        <v/>
      </c>
      <c r="AK260" s="634" t="str">
        <f t="shared" si="105"/>
        <v/>
      </c>
      <c r="AL260" s="635" t="str">
        <f t="shared" si="106"/>
        <v/>
      </c>
      <c r="AM260" s="645" t="str">
        <f t="shared" si="107"/>
        <v/>
      </c>
      <c r="AN260" s="38"/>
    </row>
    <row r="261" spans="1:40" ht="13.2" x14ac:dyDescent="0.25">
      <c r="A261" s="26"/>
      <c r="B261" s="38"/>
      <c r="C261" s="261" t="s">
        <v>441</v>
      </c>
      <c r="D261" s="644" t="str">
        <f t="shared" si="111"/>
        <v/>
      </c>
      <c r="E261" s="635" t="str">
        <f t="shared" si="110"/>
        <v/>
      </c>
      <c r="F261" s="357"/>
      <c r="G261" s="357"/>
      <c r="H261" s="357"/>
      <c r="I261" s="357"/>
      <c r="J261" s="357"/>
      <c r="K261" s="357"/>
      <c r="L261" s="357"/>
      <c r="M261" s="38"/>
      <c r="N261" s="632" t="str">
        <f t="shared" si="84"/>
        <v/>
      </c>
      <c r="O261" s="633" t="str">
        <f t="shared" si="85"/>
        <v/>
      </c>
      <c r="P261" s="632" t="str">
        <f t="shared" si="118"/>
        <v/>
      </c>
      <c r="Q261" s="634" t="str">
        <f t="shared" si="86"/>
        <v/>
      </c>
      <c r="R261" s="635" t="str">
        <f t="shared" si="119"/>
        <v/>
      </c>
      <c r="S261" s="633" t="str">
        <f t="shared" si="87"/>
        <v/>
      </c>
      <c r="T261" s="632" t="str">
        <f t="shared" si="113"/>
        <v/>
      </c>
      <c r="U261" s="636" t="str">
        <f t="shared" si="89"/>
        <v/>
      </c>
      <c r="V261" s="637" t="str">
        <f t="shared" si="90"/>
        <v/>
      </c>
      <c r="W261" s="633" t="str">
        <f t="shared" si="91"/>
        <v/>
      </c>
      <c r="X261" s="632" t="str">
        <f t="shared" si="114"/>
        <v/>
      </c>
      <c r="Y261" s="634" t="str">
        <f t="shared" si="93"/>
        <v/>
      </c>
      <c r="Z261" s="635" t="str">
        <f t="shared" si="94"/>
        <v/>
      </c>
      <c r="AA261" s="633" t="str">
        <f t="shared" si="95"/>
        <v/>
      </c>
      <c r="AB261" s="632" t="str">
        <f t="shared" si="115"/>
        <v/>
      </c>
      <c r="AC261" s="634" t="str">
        <f t="shared" si="97"/>
        <v/>
      </c>
      <c r="AD261" s="635" t="str">
        <f t="shared" si="98"/>
        <v/>
      </c>
      <c r="AE261" s="633" t="str">
        <f t="shared" si="99"/>
        <v/>
      </c>
      <c r="AF261" s="632" t="str">
        <f t="shared" si="116"/>
        <v/>
      </c>
      <c r="AG261" s="636" t="str">
        <f t="shared" si="101"/>
        <v/>
      </c>
      <c r="AH261" s="637" t="str">
        <f t="shared" si="102"/>
        <v/>
      </c>
      <c r="AI261" s="633" t="str">
        <f t="shared" si="103"/>
        <v/>
      </c>
      <c r="AJ261" s="632" t="str">
        <f t="shared" si="117"/>
        <v/>
      </c>
      <c r="AK261" s="634" t="str">
        <f t="shared" si="105"/>
        <v/>
      </c>
      <c r="AL261" s="635" t="str">
        <f t="shared" si="106"/>
        <v/>
      </c>
      <c r="AM261" s="645" t="str">
        <f t="shared" si="107"/>
        <v/>
      </c>
      <c r="AN261" s="38"/>
    </row>
    <row r="262" spans="1:40" s="162" customFormat="1" ht="13.2" x14ac:dyDescent="0.25">
      <c r="A262" s="454"/>
      <c r="B262" s="455"/>
      <c r="C262" s="473"/>
      <c r="D262" s="473" t="s">
        <v>419</v>
      </c>
      <c r="E262" s="635">
        <f t="shared" si="110"/>
        <v>4890.1601872260444</v>
      </c>
      <c r="F262" s="635">
        <f>F619/'WK3 - Notional GI Yr1 YIELD'!$D$60</f>
        <v>4906.0481364494926</v>
      </c>
      <c r="G262" s="635">
        <f>G619/'WK3 - Notional GI Yr1 YIELD'!$D$60</f>
        <v>5028.6993398607301</v>
      </c>
      <c r="H262" s="635">
        <f>H619/'WK3 - Notional GI Yr1 YIELD'!$D$60</f>
        <v>5154.4168233572464</v>
      </c>
      <c r="I262" s="635">
        <f>I619/'WK3 - Notional GI Yr1 YIELD'!$D$60</f>
        <v>5283.2772439411774</v>
      </c>
      <c r="J262" s="635">
        <f>J619/'WK3 - Notional GI Yr1 YIELD'!$D$60</f>
        <v>5415.3591750397063</v>
      </c>
      <c r="K262" s="635">
        <f>K619/'WK3 - Notional GI Yr1 YIELD'!$D$60</f>
        <v>0</v>
      </c>
      <c r="L262" s="635">
        <f>L619/'WK3 - Notional GI Yr1 YIELD'!$D$60</f>
        <v>0</v>
      </c>
      <c r="M262" s="455"/>
      <c r="N262" s="632">
        <f t="shared" si="84"/>
        <v>15.887949223448231</v>
      </c>
      <c r="O262" s="633">
        <f t="shared" si="85"/>
        <v>3.2489629409176287E-3</v>
      </c>
      <c r="P262" s="632">
        <f t="shared" si="118"/>
        <v>122.65120341123747</v>
      </c>
      <c r="Q262" s="634">
        <f t="shared" si="86"/>
        <v>2.5000000000000033E-2</v>
      </c>
      <c r="R262" s="635">
        <f t="shared" si="119"/>
        <v>138.53915263468571</v>
      </c>
      <c r="S262" s="633">
        <f t="shared" si="87"/>
        <v>2.8330187014440601E-2</v>
      </c>
      <c r="T262" s="632">
        <f t="shared" si="113"/>
        <v>125.71748349651625</v>
      </c>
      <c r="U262" s="636">
        <f t="shared" si="89"/>
        <v>2.4999999999999602E-2</v>
      </c>
      <c r="V262" s="637">
        <f t="shared" si="90"/>
        <v>264.25663613120196</v>
      </c>
      <c r="W262" s="633">
        <f t="shared" si="91"/>
        <v>5.4038441689801209E-2</v>
      </c>
      <c r="X262" s="632">
        <f t="shared" si="114"/>
        <v>128.86042058393105</v>
      </c>
      <c r="Y262" s="634">
        <f t="shared" si="93"/>
        <v>2.4999999999999977E-2</v>
      </c>
      <c r="Z262" s="635">
        <f t="shared" si="94"/>
        <v>393.117056715133</v>
      </c>
      <c r="AA262" s="633">
        <f t="shared" si="95"/>
        <v>8.0389402732046214E-2</v>
      </c>
      <c r="AB262" s="632">
        <f t="shared" si="115"/>
        <v>132.08193109852891</v>
      </c>
      <c r="AC262" s="634">
        <f t="shared" si="97"/>
        <v>2.4999999999999901E-2</v>
      </c>
      <c r="AD262" s="635">
        <f t="shared" si="98"/>
        <v>525.19898781366192</v>
      </c>
      <c r="AE262" s="633">
        <f t="shared" si="99"/>
        <v>0.10739913780034727</v>
      </c>
      <c r="AF262" s="632" t="str">
        <f t="shared" si="116"/>
        <v/>
      </c>
      <c r="AG262" s="636" t="str">
        <f t="shared" si="101"/>
        <v/>
      </c>
      <c r="AH262" s="637" t="str">
        <f t="shared" si="102"/>
        <v/>
      </c>
      <c r="AI262" s="633" t="str">
        <f t="shared" si="103"/>
        <v/>
      </c>
      <c r="AJ262" s="632" t="str">
        <f t="shared" si="117"/>
        <v/>
      </c>
      <c r="AK262" s="634" t="str">
        <f t="shared" si="105"/>
        <v/>
      </c>
      <c r="AL262" s="635" t="str">
        <f t="shared" si="106"/>
        <v/>
      </c>
      <c r="AM262" s="645" t="str">
        <f t="shared" si="107"/>
        <v/>
      </c>
      <c r="AN262" s="455"/>
    </row>
    <row r="263" spans="1:40" ht="13.2" x14ac:dyDescent="0.25">
      <c r="A263" s="26"/>
      <c r="B263" s="38"/>
      <c r="C263" s="261" t="s">
        <v>205</v>
      </c>
      <c r="D263" s="644" t="str">
        <f>D137</f>
        <v/>
      </c>
      <c r="E263" s="635">
        <f t="shared" si="110"/>
        <v>2345.9813864281959</v>
      </c>
      <c r="F263" s="357">
        <f>E263*1.023</f>
        <v>2399.9389583160441</v>
      </c>
      <c r="G263" s="357">
        <f>F263*1.025</f>
        <v>2459.937432273945</v>
      </c>
      <c r="H263" s="357">
        <f>G263*1.025</f>
        <v>2521.4358680807932</v>
      </c>
      <c r="I263" s="357">
        <f>H263*1.025</f>
        <v>2584.4717647828129</v>
      </c>
      <c r="J263" s="357">
        <f>I263*1.025</f>
        <v>2649.0835589023832</v>
      </c>
      <c r="K263" s="357"/>
      <c r="L263" s="357"/>
      <c r="M263" s="38"/>
      <c r="N263" s="632">
        <f t="shared" si="84"/>
        <v>53.957571887848189</v>
      </c>
      <c r="O263" s="633">
        <f t="shared" si="85"/>
        <v>2.2999999999999864E-2</v>
      </c>
      <c r="P263" s="632">
        <f t="shared" si="118"/>
        <v>59.998473957900842</v>
      </c>
      <c r="Q263" s="634">
        <f t="shared" si="86"/>
        <v>2.499999999999989E-2</v>
      </c>
      <c r="R263" s="635">
        <f t="shared" si="119"/>
        <v>113.95604584574903</v>
      </c>
      <c r="S263" s="633">
        <f t="shared" si="87"/>
        <v>4.857499999999975E-2</v>
      </c>
      <c r="T263" s="632">
        <f t="shared" si="113"/>
        <v>61.498435806848192</v>
      </c>
      <c r="U263" s="636">
        <f t="shared" si="89"/>
        <v>2.4999999999999824E-2</v>
      </c>
      <c r="V263" s="637">
        <f t="shared" si="90"/>
        <v>175.45448165259722</v>
      </c>
      <c r="W263" s="633">
        <f t="shared" si="91"/>
        <v>7.4789374999999561E-2</v>
      </c>
      <c r="X263" s="632">
        <f t="shared" si="114"/>
        <v>63.035896702019727</v>
      </c>
      <c r="Y263" s="634">
        <f t="shared" si="93"/>
        <v>2.499999999999996E-2</v>
      </c>
      <c r="Z263" s="635">
        <f t="shared" si="94"/>
        <v>238.49037835461695</v>
      </c>
      <c r="AA263" s="633">
        <f t="shared" si="95"/>
        <v>0.1016591093749995</v>
      </c>
      <c r="AB263" s="632">
        <f t="shared" si="115"/>
        <v>64.611794119570277</v>
      </c>
      <c r="AC263" s="634">
        <f t="shared" si="97"/>
        <v>2.4999999999999984E-2</v>
      </c>
      <c r="AD263" s="635">
        <f t="shared" si="98"/>
        <v>303.10217247418723</v>
      </c>
      <c r="AE263" s="633">
        <f t="shared" si="99"/>
        <v>0.12920058710937446</v>
      </c>
      <c r="AF263" s="632" t="str">
        <f t="shared" si="116"/>
        <v/>
      </c>
      <c r="AG263" s="636" t="str">
        <f t="shared" si="101"/>
        <v/>
      </c>
      <c r="AH263" s="637" t="str">
        <f t="shared" si="102"/>
        <v/>
      </c>
      <c r="AI263" s="633" t="str">
        <f t="shared" si="103"/>
        <v/>
      </c>
      <c r="AJ263" s="632" t="str">
        <f t="shared" si="117"/>
        <v/>
      </c>
      <c r="AK263" s="634" t="str">
        <f t="shared" si="105"/>
        <v/>
      </c>
      <c r="AL263" s="635" t="str">
        <f t="shared" si="106"/>
        <v/>
      </c>
      <c r="AM263" s="645" t="str">
        <f t="shared" si="107"/>
        <v/>
      </c>
      <c r="AN263" s="38"/>
    </row>
    <row r="264" spans="1:40" ht="13.2" x14ac:dyDescent="0.25">
      <c r="A264" s="26"/>
      <c r="B264" s="38"/>
      <c r="C264" s="261" t="s">
        <v>205</v>
      </c>
      <c r="D264" s="644" t="str">
        <f t="shared" ref="D264:E272" si="120">D138</f>
        <v/>
      </c>
      <c r="E264" s="635" t="str">
        <f t="shared" si="120"/>
        <v/>
      </c>
      <c r="F264" s="357"/>
      <c r="G264" s="357"/>
      <c r="H264" s="357"/>
      <c r="I264" s="357"/>
      <c r="J264" s="357"/>
      <c r="K264" s="357"/>
      <c r="L264" s="357"/>
      <c r="M264" s="38"/>
      <c r="N264" s="632" t="str">
        <f t="shared" si="84"/>
        <v/>
      </c>
      <c r="O264" s="633" t="str">
        <f t="shared" si="85"/>
        <v/>
      </c>
      <c r="P264" s="632" t="str">
        <f t="shared" si="118"/>
        <v/>
      </c>
      <c r="Q264" s="634" t="str">
        <f t="shared" si="86"/>
        <v/>
      </c>
      <c r="R264" s="635" t="str">
        <f t="shared" si="119"/>
        <v/>
      </c>
      <c r="S264" s="633" t="str">
        <f t="shared" si="87"/>
        <v/>
      </c>
      <c r="T264" s="632" t="str">
        <f t="shared" si="113"/>
        <v/>
      </c>
      <c r="U264" s="636" t="str">
        <f t="shared" si="89"/>
        <v/>
      </c>
      <c r="V264" s="637" t="str">
        <f t="shared" si="90"/>
        <v/>
      </c>
      <c r="W264" s="633" t="str">
        <f t="shared" si="91"/>
        <v/>
      </c>
      <c r="X264" s="632" t="str">
        <f t="shared" si="114"/>
        <v/>
      </c>
      <c r="Y264" s="634" t="str">
        <f t="shared" si="93"/>
        <v/>
      </c>
      <c r="Z264" s="635" t="str">
        <f t="shared" si="94"/>
        <v/>
      </c>
      <c r="AA264" s="633" t="str">
        <f t="shared" si="95"/>
        <v/>
      </c>
      <c r="AB264" s="632" t="str">
        <f t="shared" si="115"/>
        <v/>
      </c>
      <c r="AC264" s="634" t="str">
        <f t="shared" si="97"/>
        <v/>
      </c>
      <c r="AD264" s="635" t="str">
        <f t="shared" si="98"/>
        <v/>
      </c>
      <c r="AE264" s="633" t="str">
        <f t="shared" si="99"/>
        <v/>
      </c>
      <c r="AF264" s="632" t="str">
        <f t="shared" si="116"/>
        <v/>
      </c>
      <c r="AG264" s="636" t="str">
        <f t="shared" si="101"/>
        <v/>
      </c>
      <c r="AH264" s="637" t="str">
        <f t="shared" si="102"/>
        <v/>
      </c>
      <c r="AI264" s="633" t="str">
        <f t="shared" si="103"/>
        <v/>
      </c>
      <c r="AJ264" s="632" t="str">
        <f t="shared" si="117"/>
        <v/>
      </c>
      <c r="AK264" s="634" t="str">
        <f t="shared" si="105"/>
        <v/>
      </c>
      <c r="AL264" s="635" t="str">
        <f t="shared" si="106"/>
        <v/>
      </c>
      <c r="AM264" s="645" t="str">
        <f t="shared" si="107"/>
        <v/>
      </c>
      <c r="AN264" s="38"/>
    </row>
    <row r="265" spans="1:40" ht="13.2" x14ac:dyDescent="0.25">
      <c r="A265" s="26"/>
      <c r="B265" s="38"/>
      <c r="C265" s="261" t="s">
        <v>205</v>
      </c>
      <c r="D265" s="644" t="str">
        <f t="shared" si="120"/>
        <v/>
      </c>
      <c r="E265" s="635" t="str">
        <f t="shared" si="120"/>
        <v/>
      </c>
      <c r="F265" s="357"/>
      <c r="G265" s="357"/>
      <c r="H265" s="357"/>
      <c r="I265" s="357"/>
      <c r="J265" s="357"/>
      <c r="K265" s="357"/>
      <c r="L265" s="357"/>
      <c r="M265" s="38"/>
      <c r="N265" s="632" t="str">
        <f t="shared" si="84"/>
        <v/>
      </c>
      <c r="O265" s="633" t="str">
        <f t="shared" si="85"/>
        <v/>
      </c>
      <c r="P265" s="632" t="str">
        <f t="shared" si="118"/>
        <v/>
      </c>
      <c r="Q265" s="634" t="str">
        <f t="shared" si="86"/>
        <v/>
      </c>
      <c r="R265" s="635" t="str">
        <f t="shared" si="119"/>
        <v/>
      </c>
      <c r="S265" s="633" t="str">
        <f t="shared" si="87"/>
        <v/>
      </c>
      <c r="T265" s="632" t="str">
        <f t="shared" si="113"/>
        <v/>
      </c>
      <c r="U265" s="636" t="str">
        <f t="shared" si="89"/>
        <v/>
      </c>
      <c r="V265" s="637" t="str">
        <f t="shared" si="90"/>
        <v/>
      </c>
      <c r="W265" s="633" t="str">
        <f t="shared" si="91"/>
        <v/>
      </c>
      <c r="X265" s="632" t="str">
        <f t="shared" si="114"/>
        <v/>
      </c>
      <c r="Y265" s="634" t="str">
        <f t="shared" si="93"/>
        <v/>
      </c>
      <c r="Z265" s="635" t="str">
        <f t="shared" si="94"/>
        <v/>
      </c>
      <c r="AA265" s="633" t="str">
        <f t="shared" si="95"/>
        <v/>
      </c>
      <c r="AB265" s="632" t="str">
        <f t="shared" si="115"/>
        <v/>
      </c>
      <c r="AC265" s="634" t="str">
        <f t="shared" si="97"/>
        <v/>
      </c>
      <c r="AD265" s="635" t="str">
        <f t="shared" si="98"/>
        <v/>
      </c>
      <c r="AE265" s="633" t="str">
        <f t="shared" si="99"/>
        <v/>
      </c>
      <c r="AF265" s="632" t="str">
        <f t="shared" si="116"/>
        <v/>
      </c>
      <c r="AG265" s="636" t="str">
        <f t="shared" si="101"/>
        <v/>
      </c>
      <c r="AH265" s="637" t="str">
        <f t="shared" si="102"/>
        <v/>
      </c>
      <c r="AI265" s="633" t="str">
        <f t="shared" si="103"/>
        <v/>
      </c>
      <c r="AJ265" s="632" t="str">
        <f t="shared" si="117"/>
        <v/>
      </c>
      <c r="AK265" s="634" t="str">
        <f t="shared" si="105"/>
        <v/>
      </c>
      <c r="AL265" s="635" t="str">
        <f t="shared" si="106"/>
        <v/>
      </c>
      <c r="AM265" s="645" t="str">
        <f t="shared" si="107"/>
        <v/>
      </c>
      <c r="AN265" s="38"/>
    </row>
    <row r="266" spans="1:40" ht="13.2" x14ac:dyDescent="0.25">
      <c r="A266" s="26"/>
      <c r="B266" s="38"/>
      <c r="C266" s="261" t="s">
        <v>205</v>
      </c>
      <c r="D266" s="644" t="str">
        <f t="shared" si="120"/>
        <v/>
      </c>
      <c r="E266" s="635" t="str">
        <f t="shared" si="120"/>
        <v/>
      </c>
      <c r="F266" s="357"/>
      <c r="G266" s="357"/>
      <c r="H266" s="357"/>
      <c r="I266" s="357"/>
      <c r="J266" s="357"/>
      <c r="K266" s="357"/>
      <c r="L266" s="357"/>
      <c r="M266" s="38"/>
      <c r="N266" s="632" t="str">
        <f t="shared" si="84"/>
        <v/>
      </c>
      <c r="O266" s="633" t="str">
        <f t="shared" si="85"/>
        <v/>
      </c>
      <c r="P266" s="632" t="str">
        <f t="shared" si="118"/>
        <v/>
      </c>
      <c r="Q266" s="634" t="str">
        <f t="shared" si="86"/>
        <v/>
      </c>
      <c r="R266" s="635" t="str">
        <f t="shared" si="119"/>
        <v/>
      </c>
      <c r="S266" s="633" t="str">
        <f t="shared" si="87"/>
        <v/>
      </c>
      <c r="T266" s="632" t="str">
        <f t="shared" si="113"/>
        <v/>
      </c>
      <c r="U266" s="636" t="str">
        <f t="shared" si="89"/>
        <v/>
      </c>
      <c r="V266" s="637" t="str">
        <f t="shared" si="90"/>
        <v/>
      </c>
      <c r="W266" s="633" t="str">
        <f t="shared" si="91"/>
        <v/>
      </c>
      <c r="X266" s="632" t="str">
        <f t="shared" si="114"/>
        <v/>
      </c>
      <c r="Y266" s="634" t="str">
        <f t="shared" si="93"/>
        <v/>
      </c>
      <c r="Z266" s="635" t="str">
        <f t="shared" si="94"/>
        <v/>
      </c>
      <c r="AA266" s="633" t="str">
        <f t="shared" si="95"/>
        <v/>
      </c>
      <c r="AB266" s="632" t="str">
        <f t="shared" si="115"/>
        <v/>
      </c>
      <c r="AC266" s="634" t="str">
        <f t="shared" si="97"/>
        <v/>
      </c>
      <c r="AD266" s="635" t="str">
        <f t="shared" si="98"/>
        <v/>
      </c>
      <c r="AE266" s="633" t="str">
        <f t="shared" si="99"/>
        <v/>
      </c>
      <c r="AF266" s="632" t="str">
        <f t="shared" si="116"/>
        <v/>
      </c>
      <c r="AG266" s="636" t="str">
        <f t="shared" si="101"/>
        <v/>
      </c>
      <c r="AH266" s="637" t="str">
        <f t="shared" si="102"/>
        <v/>
      </c>
      <c r="AI266" s="633" t="str">
        <f t="shared" si="103"/>
        <v/>
      </c>
      <c r="AJ266" s="632" t="str">
        <f t="shared" si="117"/>
        <v/>
      </c>
      <c r="AK266" s="634" t="str">
        <f t="shared" si="105"/>
        <v/>
      </c>
      <c r="AL266" s="635" t="str">
        <f t="shared" si="106"/>
        <v/>
      </c>
      <c r="AM266" s="645" t="str">
        <f t="shared" si="107"/>
        <v/>
      </c>
      <c r="AN266" s="38"/>
    </row>
    <row r="267" spans="1:40" ht="13.2" x14ac:dyDescent="0.25">
      <c r="A267" s="26"/>
      <c r="B267" s="38"/>
      <c r="C267" s="261" t="s">
        <v>205</v>
      </c>
      <c r="D267" s="644" t="str">
        <f t="shared" si="120"/>
        <v/>
      </c>
      <c r="E267" s="635" t="str">
        <f t="shared" si="120"/>
        <v/>
      </c>
      <c r="F267" s="357"/>
      <c r="G267" s="357"/>
      <c r="H267" s="357"/>
      <c r="I267" s="357"/>
      <c r="J267" s="357"/>
      <c r="K267" s="357"/>
      <c r="L267" s="357"/>
      <c r="M267" s="38"/>
      <c r="N267" s="632" t="str">
        <f t="shared" si="84"/>
        <v/>
      </c>
      <c r="O267" s="633" t="str">
        <f t="shared" si="85"/>
        <v/>
      </c>
      <c r="P267" s="632" t="str">
        <f t="shared" si="118"/>
        <v/>
      </c>
      <c r="Q267" s="634" t="str">
        <f t="shared" si="86"/>
        <v/>
      </c>
      <c r="R267" s="635" t="str">
        <f t="shared" si="119"/>
        <v/>
      </c>
      <c r="S267" s="633" t="str">
        <f t="shared" si="87"/>
        <v/>
      </c>
      <c r="T267" s="632" t="str">
        <f t="shared" si="113"/>
        <v/>
      </c>
      <c r="U267" s="636" t="str">
        <f t="shared" si="89"/>
        <v/>
      </c>
      <c r="V267" s="637" t="str">
        <f t="shared" si="90"/>
        <v/>
      </c>
      <c r="W267" s="633" t="str">
        <f t="shared" si="91"/>
        <v/>
      </c>
      <c r="X267" s="632" t="str">
        <f t="shared" si="114"/>
        <v/>
      </c>
      <c r="Y267" s="634" t="str">
        <f t="shared" si="93"/>
        <v/>
      </c>
      <c r="Z267" s="635" t="str">
        <f t="shared" si="94"/>
        <v/>
      </c>
      <c r="AA267" s="633" t="str">
        <f t="shared" si="95"/>
        <v/>
      </c>
      <c r="AB267" s="632" t="str">
        <f t="shared" si="115"/>
        <v/>
      </c>
      <c r="AC267" s="634" t="str">
        <f t="shared" si="97"/>
        <v/>
      </c>
      <c r="AD267" s="635" t="str">
        <f t="shared" si="98"/>
        <v/>
      </c>
      <c r="AE267" s="633" t="str">
        <f t="shared" si="99"/>
        <v/>
      </c>
      <c r="AF267" s="632" t="str">
        <f t="shared" si="116"/>
        <v/>
      </c>
      <c r="AG267" s="636" t="str">
        <f t="shared" si="101"/>
        <v/>
      </c>
      <c r="AH267" s="637" t="str">
        <f t="shared" si="102"/>
        <v/>
      </c>
      <c r="AI267" s="633" t="str">
        <f t="shared" si="103"/>
        <v/>
      </c>
      <c r="AJ267" s="632" t="str">
        <f t="shared" si="117"/>
        <v/>
      </c>
      <c r="AK267" s="634" t="str">
        <f t="shared" si="105"/>
        <v/>
      </c>
      <c r="AL267" s="635" t="str">
        <f t="shared" si="106"/>
        <v/>
      </c>
      <c r="AM267" s="645" t="str">
        <f t="shared" si="107"/>
        <v/>
      </c>
      <c r="AN267" s="38"/>
    </row>
    <row r="268" spans="1:40" ht="13.2" x14ac:dyDescent="0.25">
      <c r="A268" s="26"/>
      <c r="B268" s="38"/>
      <c r="C268" s="261" t="s">
        <v>205</v>
      </c>
      <c r="D268" s="644" t="str">
        <f t="shared" si="120"/>
        <v/>
      </c>
      <c r="E268" s="635" t="str">
        <f t="shared" si="120"/>
        <v/>
      </c>
      <c r="F268" s="357"/>
      <c r="G268" s="357"/>
      <c r="H268" s="357"/>
      <c r="I268" s="357"/>
      <c r="J268" s="357"/>
      <c r="K268" s="357"/>
      <c r="L268" s="357"/>
      <c r="M268" s="38"/>
      <c r="N268" s="632" t="str">
        <f t="shared" si="84"/>
        <v/>
      </c>
      <c r="O268" s="633" t="str">
        <f t="shared" si="85"/>
        <v/>
      </c>
      <c r="P268" s="632" t="str">
        <f t="shared" si="118"/>
        <v/>
      </c>
      <c r="Q268" s="634" t="str">
        <f t="shared" si="86"/>
        <v/>
      </c>
      <c r="R268" s="635" t="str">
        <f t="shared" si="119"/>
        <v/>
      </c>
      <c r="S268" s="633" t="str">
        <f t="shared" si="87"/>
        <v/>
      </c>
      <c r="T268" s="632" t="str">
        <f t="shared" si="113"/>
        <v/>
      </c>
      <c r="U268" s="636" t="str">
        <f t="shared" si="89"/>
        <v/>
      </c>
      <c r="V268" s="637" t="str">
        <f t="shared" si="90"/>
        <v/>
      </c>
      <c r="W268" s="633" t="str">
        <f t="shared" si="91"/>
        <v/>
      </c>
      <c r="X268" s="632" t="str">
        <f t="shared" si="114"/>
        <v/>
      </c>
      <c r="Y268" s="634" t="str">
        <f t="shared" si="93"/>
        <v/>
      </c>
      <c r="Z268" s="635" t="str">
        <f t="shared" si="94"/>
        <v/>
      </c>
      <c r="AA268" s="633" t="str">
        <f t="shared" si="95"/>
        <v/>
      </c>
      <c r="AB268" s="632" t="str">
        <f t="shared" si="115"/>
        <v/>
      </c>
      <c r="AC268" s="634" t="str">
        <f t="shared" si="97"/>
        <v/>
      </c>
      <c r="AD268" s="635" t="str">
        <f t="shared" si="98"/>
        <v/>
      </c>
      <c r="AE268" s="633" t="str">
        <f t="shared" si="99"/>
        <v/>
      </c>
      <c r="AF268" s="632" t="str">
        <f t="shared" si="116"/>
        <v/>
      </c>
      <c r="AG268" s="636" t="str">
        <f t="shared" si="101"/>
        <v/>
      </c>
      <c r="AH268" s="637" t="str">
        <f t="shared" si="102"/>
        <v/>
      </c>
      <c r="AI268" s="633" t="str">
        <f t="shared" si="103"/>
        <v/>
      </c>
      <c r="AJ268" s="632" t="str">
        <f t="shared" si="117"/>
        <v/>
      </c>
      <c r="AK268" s="634" t="str">
        <f t="shared" si="105"/>
        <v/>
      </c>
      <c r="AL268" s="635" t="str">
        <f t="shared" si="106"/>
        <v/>
      </c>
      <c r="AM268" s="645" t="str">
        <f t="shared" si="107"/>
        <v/>
      </c>
      <c r="AN268" s="38"/>
    </row>
    <row r="269" spans="1:40" ht="13.2" x14ac:dyDescent="0.25">
      <c r="A269" s="26"/>
      <c r="B269" s="38"/>
      <c r="C269" s="261" t="s">
        <v>205</v>
      </c>
      <c r="D269" s="644" t="str">
        <f t="shared" si="120"/>
        <v/>
      </c>
      <c r="E269" s="635" t="str">
        <f t="shared" si="120"/>
        <v/>
      </c>
      <c r="F269" s="357"/>
      <c r="G269" s="357"/>
      <c r="H269" s="357"/>
      <c r="I269" s="357"/>
      <c r="J269" s="357"/>
      <c r="K269" s="357"/>
      <c r="L269" s="357"/>
      <c r="M269" s="38"/>
      <c r="N269" s="632" t="str">
        <f t="shared" si="84"/>
        <v/>
      </c>
      <c r="O269" s="633" t="str">
        <f t="shared" si="85"/>
        <v/>
      </c>
      <c r="P269" s="632" t="str">
        <f t="shared" si="118"/>
        <v/>
      </c>
      <c r="Q269" s="634" t="str">
        <f t="shared" si="86"/>
        <v/>
      </c>
      <c r="R269" s="635" t="str">
        <f t="shared" si="119"/>
        <v/>
      </c>
      <c r="S269" s="633" t="str">
        <f t="shared" si="87"/>
        <v/>
      </c>
      <c r="T269" s="632" t="str">
        <f t="shared" si="113"/>
        <v/>
      </c>
      <c r="U269" s="636" t="str">
        <f t="shared" si="89"/>
        <v/>
      </c>
      <c r="V269" s="637" t="str">
        <f t="shared" si="90"/>
        <v/>
      </c>
      <c r="W269" s="633" t="str">
        <f t="shared" si="91"/>
        <v/>
      </c>
      <c r="X269" s="632" t="str">
        <f t="shared" si="114"/>
        <v/>
      </c>
      <c r="Y269" s="634" t="str">
        <f t="shared" si="93"/>
        <v/>
      </c>
      <c r="Z269" s="635" t="str">
        <f t="shared" si="94"/>
        <v/>
      </c>
      <c r="AA269" s="633" t="str">
        <f t="shared" si="95"/>
        <v/>
      </c>
      <c r="AB269" s="632" t="str">
        <f t="shared" si="115"/>
        <v/>
      </c>
      <c r="AC269" s="634" t="str">
        <f t="shared" si="97"/>
        <v/>
      </c>
      <c r="AD269" s="635" t="str">
        <f t="shared" si="98"/>
        <v/>
      </c>
      <c r="AE269" s="633" t="str">
        <f t="shared" si="99"/>
        <v/>
      </c>
      <c r="AF269" s="632" t="str">
        <f t="shared" si="116"/>
        <v/>
      </c>
      <c r="AG269" s="636" t="str">
        <f t="shared" si="101"/>
        <v/>
      </c>
      <c r="AH269" s="637" t="str">
        <f t="shared" si="102"/>
        <v/>
      </c>
      <c r="AI269" s="633" t="str">
        <f t="shared" si="103"/>
        <v/>
      </c>
      <c r="AJ269" s="632" t="str">
        <f t="shared" si="117"/>
        <v/>
      </c>
      <c r="AK269" s="634" t="str">
        <f t="shared" si="105"/>
        <v/>
      </c>
      <c r="AL269" s="635" t="str">
        <f t="shared" si="106"/>
        <v/>
      </c>
      <c r="AM269" s="645" t="str">
        <f t="shared" si="107"/>
        <v/>
      </c>
      <c r="AN269" s="38"/>
    </row>
    <row r="270" spans="1:40" ht="13.2" x14ac:dyDescent="0.25">
      <c r="A270" s="26"/>
      <c r="B270" s="38"/>
      <c r="C270" s="261" t="s">
        <v>205</v>
      </c>
      <c r="D270" s="644" t="str">
        <f t="shared" si="120"/>
        <v/>
      </c>
      <c r="E270" s="635" t="str">
        <f t="shared" si="120"/>
        <v/>
      </c>
      <c r="F270" s="357"/>
      <c r="G270" s="357"/>
      <c r="H270" s="357"/>
      <c r="I270" s="357"/>
      <c r="J270" s="357"/>
      <c r="K270" s="357"/>
      <c r="L270" s="357"/>
      <c r="M270" s="38"/>
      <c r="N270" s="632" t="str">
        <f t="shared" si="84"/>
        <v/>
      </c>
      <c r="O270" s="633" t="str">
        <f t="shared" si="85"/>
        <v/>
      </c>
      <c r="P270" s="632" t="str">
        <f t="shared" si="118"/>
        <v/>
      </c>
      <c r="Q270" s="634" t="str">
        <f t="shared" si="86"/>
        <v/>
      </c>
      <c r="R270" s="635" t="str">
        <f t="shared" si="119"/>
        <v/>
      </c>
      <c r="S270" s="633" t="str">
        <f t="shared" si="87"/>
        <v/>
      </c>
      <c r="T270" s="632" t="str">
        <f t="shared" si="113"/>
        <v/>
      </c>
      <c r="U270" s="636" t="str">
        <f t="shared" si="89"/>
        <v/>
      </c>
      <c r="V270" s="637" t="str">
        <f t="shared" si="90"/>
        <v/>
      </c>
      <c r="W270" s="633" t="str">
        <f t="shared" si="91"/>
        <v/>
      </c>
      <c r="X270" s="632" t="str">
        <f t="shared" si="114"/>
        <v/>
      </c>
      <c r="Y270" s="634" t="str">
        <f t="shared" si="93"/>
        <v/>
      </c>
      <c r="Z270" s="635" t="str">
        <f t="shared" si="94"/>
        <v/>
      </c>
      <c r="AA270" s="633" t="str">
        <f t="shared" si="95"/>
        <v/>
      </c>
      <c r="AB270" s="632" t="str">
        <f t="shared" si="115"/>
        <v/>
      </c>
      <c r="AC270" s="634" t="str">
        <f t="shared" si="97"/>
        <v/>
      </c>
      <c r="AD270" s="635" t="str">
        <f t="shared" si="98"/>
        <v/>
      </c>
      <c r="AE270" s="633" t="str">
        <f t="shared" si="99"/>
        <v/>
      </c>
      <c r="AF270" s="632" t="str">
        <f t="shared" si="116"/>
        <v/>
      </c>
      <c r="AG270" s="636" t="str">
        <f t="shared" si="101"/>
        <v/>
      </c>
      <c r="AH270" s="637" t="str">
        <f t="shared" si="102"/>
        <v/>
      </c>
      <c r="AI270" s="633" t="str">
        <f t="shared" si="103"/>
        <v/>
      </c>
      <c r="AJ270" s="632" t="str">
        <f t="shared" si="117"/>
        <v/>
      </c>
      <c r="AK270" s="634" t="str">
        <f t="shared" si="105"/>
        <v/>
      </c>
      <c r="AL270" s="635" t="str">
        <f t="shared" si="106"/>
        <v/>
      </c>
      <c r="AM270" s="645" t="str">
        <f t="shared" si="107"/>
        <v/>
      </c>
      <c r="AN270" s="38"/>
    </row>
    <row r="271" spans="1:40" ht="13.2" x14ac:dyDescent="0.25">
      <c r="A271" s="26"/>
      <c r="B271" s="38"/>
      <c r="C271" s="261" t="s">
        <v>205</v>
      </c>
      <c r="D271" s="644" t="str">
        <f t="shared" si="120"/>
        <v/>
      </c>
      <c r="E271" s="635" t="str">
        <f t="shared" si="120"/>
        <v/>
      </c>
      <c r="F271" s="357"/>
      <c r="G271" s="357"/>
      <c r="H271" s="357"/>
      <c r="I271" s="357"/>
      <c r="J271" s="357"/>
      <c r="K271" s="357"/>
      <c r="L271" s="357"/>
      <c r="M271" s="38"/>
      <c r="N271" s="632" t="str">
        <f t="shared" si="84"/>
        <v/>
      </c>
      <c r="O271" s="633" t="str">
        <f t="shared" si="85"/>
        <v/>
      </c>
      <c r="P271" s="632" t="str">
        <f t="shared" si="118"/>
        <v/>
      </c>
      <c r="Q271" s="634" t="str">
        <f t="shared" si="86"/>
        <v/>
      </c>
      <c r="R271" s="635" t="str">
        <f t="shared" si="119"/>
        <v/>
      </c>
      <c r="S271" s="633" t="str">
        <f t="shared" si="87"/>
        <v/>
      </c>
      <c r="T271" s="632" t="str">
        <f t="shared" si="113"/>
        <v/>
      </c>
      <c r="U271" s="636" t="str">
        <f t="shared" si="89"/>
        <v/>
      </c>
      <c r="V271" s="637" t="str">
        <f t="shared" si="90"/>
        <v/>
      </c>
      <c r="W271" s="633" t="str">
        <f t="shared" si="91"/>
        <v/>
      </c>
      <c r="X271" s="632" t="str">
        <f t="shared" si="114"/>
        <v/>
      </c>
      <c r="Y271" s="634" t="str">
        <f t="shared" si="93"/>
        <v/>
      </c>
      <c r="Z271" s="635" t="str">
        <f t="shared" si="94"/>
        <v/>
      </c>
      <c r="AA271" s="633" t="str">
        <f t="shared" si="95"/>
        <v/>
      </c>
      <c r="AB271" s="632" t="str">
        <f t="shared" si="115"/>
        <v/>
      </c>
      <c r="AC271" s="634" t="str">
        <f t="shared" si="97"/>
        <v/>
      </c>
      <c r="AD271" s="635" t="str">
        <f t="shared" si="98"/>
        <v/>
      </c>
      <c r="AE271" s="633" t="str">
        <f t="shared" si="99"/>
        <v/>
      </c>
      <c r="AF271" s="632" t="str">
        <f t="shared" si="116"/>
        <v/>
      </c>
      <c r="AG271" s="636" t="str">
        <f t="shared" si="101"/>
        <v/>
      </c>
      <c r="AH271" s="637" t="str">
        <f t="shared" si="102"/>
        <v/>
      </c>
      <c r="AI271" s="633" t="str">
        <f t="shared" si="103"/>
        <v/>
      </c>
      <c r="AJ271" s="632" t="str">
        <f t="shared" si="117"/>
        <v/>
      </c>
      <c r="AK271" s="634" t="str">
        <f t="shared" si="105"/>
        <v/>
      </c>
      <c r="AL271" s="635" t="str">
        <f t="shared" si="106"/>
        <v/>
      </c>
      <c r="AM271" s="645" t="str">
        <f t="shared" si="107"/>
        <v/>
      </c>
      <c r="AN271" s="38"/>
    </row>
    <row r="272" spans="1:40" ht="13.2" x14ac:dyDescent="0.25">
      <c r="A272" s="26"/>
      <c r="B272" s="38"/>
      <c r="C272" s="261" t="s">
        <v>205</v>
      </c>
      <c r="D272" s="644" t="str">
        <f t="shared" si="120"/>
        <v/>
      </c>
      <c r="E272" s="635" t="str">
        <f t="shared" si="120"/>
        <v/>
      </c>
      <c r="F272" s="357"/>
      <c r="G272" s="357"/>
      <c r="H272" s="357"/>
      <c r="I272" s="357"/>
      <c r="J272" s="357"/>
      <c r="K272" s="357"/>
      <c r="L272" s="357"/>
      <c r="M272" s="38"/>
      <c r="N272" s="632" t="str">
        <f t="shared" si="84"/>
        <v/>
      </c>
      <c r="O272" s="633" t="str">
        <f t="shared" si="85"/>
        <v/>
      </c>
      <c r="P272" s="632" t="str">
        <f t="shared" si="118"/>
        <v/>
      </c>
      <c r="Q272" s="634" t="str">
        <f t="shared" si="86"/>
        <v/>
      </c>
      <c r="R272" s="635" t="str">
        <f t="shared" si="119"/>
        <v/>
      </c>
      <c r="S272" s="633" t="str">
        <f t="shared" si="87"/>
        <v/>
      </c>
      <c r="T272" s="632" t="str">
        <f t="shared" si="113"/>
        <v/>
      </c>
      <c r="U272" s="636" t="str">
        <f t="shared" si="89"/>
        <v/>
      </c>
      <c r="V272" s="637" t="str">
        <f t="shared" si="90"/>
        <v/>
      </c>
      <c r="W272" s="633" t="str">
        <f t="shared" si="91"/>
        <v/>
      </c>
      <c r="X272" s="632" t="str">
        <f t="shared" si="114"/>
        <v/>
      </c>
      <c r="Y272" s="634" t="str">
        <f t="shared" si="93"/>
        <v/>
      </c>
      <c r="Z272" s="635" t="str">
        <f t="shared" si="94"/>
        <v/>
      </c>
      <c r="AA272" s="633" t="str">
        <f t="shared" si="95"/>
        <v/>
      </c>
      <c r="AB272" s="632" t="str">
        <f t="shared" si="115"/>
        <v/>
      </c>
      <c r="AC272" s="634" t="str">
        <f t="shared" si="97"/>
        <v/>
      </c>
      <c r="AD272" s="635" t="str">
        <f t="shared" si="98"/>
        <v/>
      </c>
      <c r="AE272" s="633" t="str">
        <f t="shared" si="99"/>
        <v/>
      </c>
      <c r="AF272" s="632" t="str">
        <f t="shared" si="116"/>
        <v/>
      </c>
      <c r="AG272" s="636" t="str">
        <f t="shared" si="101"/>
        <v/>
      </c>
      <c r="AH272" s="637" t="str">
        <f t="shared" si="102"/>
        <v/>
      </c>
      <c r="AI272" s="633" t="str">
        <f t="shared" si="103"/>
        <v/>
      </c>
      <c r="AJ272" s="632" t="str">
        <f t="shared" si="117"/>
        <v/>
      </c>
      <c r="AK272" s="634" t="str">
        <f t="shared" si="105"/>
        <v/>
      </c>
      <c r="AL272" s="635" t="str">
        <f t="shared" si="106"/>
        <v/>
      </c>
      <c r="AM272" s="645" t="str">
        <f t="shared" si="107"/>
        <v/>
      </c>
      <c r="AN272" s="38"/>
    </row>
    <row r="273" spans="1:40" ht="13.2" x14ac:dyDescent="0.25">
      <c r="A273" s="26"/>
      <c r="B273" s="38"/>
      <c r="C273" s="261" t="s">
        <v>441</v>
      </c>
      <c r="D273" s="644" t="str">
        <f>D147</f>
        <v/>
      </c>
      <c r="E273" s="635" t="str">
        <f t="shared" ref="E273:E282" si="121">E147</f>
        <v/>
      </c>
      <c r="F273" s="357"/>
      <c r="G273" s="357"/>
      <c r="H273" s="357"/>
      <c r="I273" s="357"/>
      <c r="J273" s="357"/>
      <c r="K273" s="357"/>
      <c r="L273" s="357"/>
      <c r="M273" s="38"/>
      <c r="N273" s="632" t="str">
        <f t="shared" si="84"/>
        <v/>
      </c>
      <c r="O273" s="633" t="str">
        <f t="shared" si="85"/>
        <v/>
      </c>
      <c r="P273" s="632" t="str">
        <f t="shared" si="118"/>
        <v/>
      </c>
      <c r="Q273" s="634" t="str">
        <f t="shared" si="86"/>
        <v/>
      </c>
      <c r="R273" s="635" t="str">
        <f t="shared" si="119"/>
        <v/>
      </c>
      <c r="S273" s="633" t="str">
        <f t="shared" si="87"/>
        <v/>
      </c>
      <c r="T273" s="632" t="str">
        <f t="shared" si="113"/>
        <v/>
      </c>
      <c r="U273" s="636" t="str">
        <f t="shared" si="89"/>
        <v/>
      </c>
      <c r="V273" s="637" t="str">
        <f t="shared" si="90"/>
        <v/>
      </c>
      <c r="W273" s="633" t="str">
        <f t="shared" si="91"/>
        <v/>
      </c>
      <c r="X273" s="632" t="str">
        <f t="shared" si="114"/>
        <v/>
      </c>
      <c r="Y273" s="634" t="str">
        <f t="shared" si="93"/>
        <v/>
      </c>
      <c r="Z273" s="635" t="str">
        <f t="shared" si="94"/>
        <v/>
      </c>
      <c r="AA273" s="633" t="str">
        <f t="shared" si="95"/>
        <v/>
      </c>
      <c r="AB273" s="632" t="str">
        <f t="shared" si="115"/>
        <v/>
      </c>
      <c r="AC273" s="634" t="str">
        <f t="shared" si="97"/>
        <v/>
      </c>
      <c r="AD273" s="635" t="str">
        <f t="shared" si="98"/>
        <v/>
      </c>
      <c r="AE273" s="633" t="str">
        <f t="shared" si="99"/>
        <v/>
      </c>
      <c r="AF273" s="632" t="str">
        <f t="shared" si="116"/>
        <v/>
      </c>
      <c r="AG273" s="636" t="str">
        <f t="shared" si="101"/>
        <v/>
      </c>
      <c r="AH273" s="637" t="str">
        <f t="shared" si="102"/>
        <v/>
      </c>
      <c r="AI273" s="633" t="str">
        <f t="shared" si="103"/>
        <v/>
      </c>
      <c r="AJ273" s="632" t="str">
        <f t="shared" si="117"/>
        <v/>
      </c>
      <c r="AK273" s="634" t="str">
        <f t="shared" si="105"/>
        <v/>
      </c>
      <c r="AL273" s="635" t="str">
        <f t="shared" si="106"/>
        <v/>
      </c>
      <c r="AM273" s="645" t="str">
        <f t="shared" si="107"/>
        <v/>
      </c>
      <c r="AN273" s="38"/>
    </row>
    <row r="274" spans="1:40" ht="13.2" x14ac:dyDescent="0.25">
      <c r="A274" s="26"/>
      <c r="B274" s="38"/>
      <c r="C274" s="261" t="s">
        <v>441</v>
      </c>
      <c r="D274" s="644" t="str">
        <f t="shared" ref="D274:D282" si="122">D148</f>
        <v/>
      </c>
      <c r="E274" s="635" t="str">
        <f t="shared" si="121"/>
        <v/>
      </c>
      <c r="F274" s="357"/>
      <c r="G274" s="357"/>
      <c r="H274" s="357"/>
      <c r="I274" s="357"/>
      <c r="J274" s="357"/>
      <c r="K274" s="357"/>
      <c r="L274" s="357"/>
      <c r="M274" s="38"/>
      <c r="N274" s="632" t="str">
        <f t="shared" si="84"/>
        <v/>
      </c>
      <c r="O274" s="633" t="str">
        <f t="shared" si="85"/>
        <v/>
      </c>
      <c r="P274" s="632" t="str">
        <f t="shared" si="118"/>
        <v/>
      </c>
      <c r="Q274" s="634" t="str">
        <f t="shared" si="86"/>
        <v/>
      </c>
      <c r="R274" s="635" t="str">
        <f t="shared" si="119"/>
        <v/>
      </c>
      <c r="S274" s="633" t="str">
        <f t="shared" si="87"/>
        <v/>
      </c>
      <c r="T274" s="632" t="str">
        <f t="shared" si="113"/>
        <v/>
      </c>
      <c r="U274" s="636" t="str">
        <f t="shared" si="89"/>
        <v/>
      </c>
      <c r="V274" s="637" t="str">
        <f t="shared" si="90"/>
        <v/>
      </c>
      <c r="W274" s="633" t="str">
        <f t="shared" si="91"/>
        <v/>
      </c>
      <c r="X274" s="632" t="str">
        <f t="shared" si="114"/>
        <v/>
      </c>
      <c r="Y274" s="634" t="str">
        <f t="shared" si="93"/>
        <v/>
      </c>
      <c r="Z274" s="635" t="str">
        <f t="shared" si="94"/>
        <v/>
      </c>
      <c r="AA274" s="633" t="str">
        <f t="shared" si="95"/>
        <v/>
      </c>
      <c r="AB274" s="632" t="str">
        <f t="shared" si="115"/>
        <v/>
      </c>
      <c r="AC274" s="634" t="str">
        <f t="shared" si="97"/>
        <v/>
      </c>
      <c r="AD274" s="635" t="str">
        <f t="shared" si="98"/>
        <v/>
      </c>
      <c r="AE274" s="633" t="str">
        <f t="shared" si="99"/>
        <v/>
      </c>
      <c r="AF274" s="632" t="str">
        <f t="shared" si="116"/>
        <v/>
      </c>
      <c r="AG274" s="636" t="str">
        <f t="shared" si="101"/>
        <v/>
      </c>
      <c r="AH274" s="637" t="str">
        <f t="shared" si="102"/>
        <v/>
      </c>
      <c r="AI274" s="633" t="str">
        <f t="shared" si="103"/>
        <v/>
      </c>
      <c r="AJ274" s="632" t="str">
        <f t="shared" si="117"/>
        <v/>
      </c>
      <c r="AK274" s="634" t="str">
        <f t="shared" si="105"/>
        <v/>
      </c>
      <c r="AL274" s="635" t="str">
        <f t="shared" si="106"/>
        <v/>
      </c>
      <c r="AM274" s="645" t="str">
        <f t="shared" si="107"/>
        <v/>
      </c>
      <c r="AN274" s="38"/>
    </row>
    <row r="275" spans="1:40" ht="13.2" x14ac:dyDescent="0.25">
      <c r="A275" s="26"/>
      <c r="B275" s="38"/>
      <c r="C275" s="261" t="s">
        <v>441</v>
      </c>
      <c r="D275" s="644" t="str">
        <f t="shared" si="122"/>
        <v/>
      </c>
      <c r="E275" s="635" t="str">
        <f t="shared" si="121"/>
        <v/>
      </c>
      <c r="F275" s="357"/>
      <c r="G275" s="357"/>
      <c r="H275" s="357"/>
      <c r="I275" s="357"/>
      <c r="J275" s="357"/>
      <c r="K275" s="357"/>
      <c r="L275" s="357"/>
      <c r="M275" s="38"/>
      <c r="N275" s="632" t="str">
        <f t="shared" si="84"/>
        <v/>
      </c>
      <c r="O275" s="633" t="str">
        <f t="shared" si="85"/>
        <v/>
      </c>
      <c r="P275" s="632" t="str">
        <f t="shared" si="118"/>
        <v/>
      </c>
      <c r="Q275" s="634" t="str">
        <f t="shared" si="86"/>
        <v/>
      </c>
      <c r="R275" s="635" t="str">
        <f t="shared" si="119"/>
        <v/>
      </c>
      <c r="S275" s="633" t="str">
        <f t="shared" si="87"/>
        <v/>
      </c>
      <c r="T275" s="632" t="str">
        <f t="shared" si="113"/>
        <v/>
      </c>
      <c r="U275" s="636" t="str">
        <f t="shared" si="89"/>
        <v/>
      </c>
      <c r="V275" s="637" t="str">
        <f t="shared" si="90"/>
        <v/>
      </c>
      <c r="W275" s="633" t="str">
        <f t="shared" si="91"/>
        <v/>
      </c>
      <c r="X275" s="632" t="str">
        <f t="shared" si="114"/>
        <v/>
      </c>
      <c r="Y275" s="634" t="str">
        <f t="shared" si="93"/>
        <v/>
      </c>
      <c r="Z275" s="635" t="str">
        <f t="shared" si="94"/>
        <v/>
      </c>
      <c r="AA275" s="633" t="str">
        <f t="shared" si="95"/>
        <v/>
      </c>
      <c r="AB275" s="632" t="str">
        <f t="shared" si="115"/>
        <v/>
      </c>
      <c r="AC275" s="634" t="str">
        <f t="shared" si="97"/>
        <v/>
      </c>
      <c r="AD275" s="635" t="str">
        <f t="shared" si="98"/>
        <v/>
      </c>
      <c r="AE275" s="633" t="str">
        <f t="shared" si="99"/>
        <v/>
      </c>
      <c r="AF275" s="632" t="str">
        <f t="shared" si="116"/>
        <v/>
      </c>
      <c r="AG275" s="636" t="str">
        <f t="shared" si="101"/>
        <v/>
      </c>
      <c r="AH275" s="637" t="str">
        <f t="shared" si="102"/>
        <v/>
      </c>
      <c r="AI275" s="633" t="str">
        <f t="shared" si="103"/>
        <v/>
      </c>
      <c r="AJ275" s="632" t="str">
        <f t="shared" si="117"/>
        <v/>
      </c>
      <c r="AK275" s="634" t="str">
        <f t="shared" si="105"/>
        <v/>
      </c>
      <c r="AL275" s="635" t="str">
        <f t="shared" si="106"/>
        <v/>
      </c>
      <c r="AM275" s="645" t="str">
        <f t="shared" si="107"/>
        <v/>
      </c>
      <c r="AN275" s="38"/>
    </row>
    <row r="276" spans="1:40" ht="13.2" x14ac:dyDescent="0.25">
      <c r="A276" s="26"/>
      <c r="B276" s="38"/>
      <c r="C276" s="261" t="s">
        <v>441</v>
      </c>
      <c r="D276" s="644" t="str">
        <f t="shared" si="122"/>
        <v/>
      </c>
      <c r="E276" s="635" t="str">
        <f t="shared" si="121"/>
        <v/>
      </c>
      <c r="F276" s="357"/>
      <c r="G276" s="357"/>
      <c r="H276" s="357"/>
      <c r="I276" s="357"/>
      <c r="J276" s="357"/>
      <c r="K276" s="357"/>
      <c r="L276" s="357"/>
      <c r="M276" s="38"/>
      <c r="N276" s="632" t="str">
        <f t="shared" si="84"/>
        <v/>
      </c>
      <c r="O276" s="633" t="str">
        <f t="shared" si="85"/>
        <v/>
      </c>
      <c r="P276" s="632" t="str">
        <f t="shared" si="118"/>
        <v/>
      </c>
      <c r="Q276" s="634" t="str">
        <f t="shared" si="86"/>
        <v/>
      </c>
      <c r="R276" s="635" t="str">
        <f t="shared" si="119"/>
        <v/>
      </c>
      <c r="S276" s="633" t="str">
        <f t="shared" si="87"/>
        <v/>
      </c>
      <c r="T276" s="632" t="str">
        <f t="shared" si="113"/>
        <v/>
      </c>
      <c r="U276" s="636" t="str">
        <f t="shared" si="89"/>
        <v/>
      </c>
      <c r="V276" s="637" t="str">
        <f t="shared" si="90"/>
        <v/>
      </c>
      <c r="W276" s="633" t="str">
        <f t="shared" si="91"/>
        <v/>
      </c>
      <c r="X276" s="632" t="str">
        <f t="shared" si="114"/>
        <v/>
      </c>
      <c r="Y276" s="634" t="str">
        <f t="shared" si="93"/>
        <v/>
      </c>
      <c r="Z276" s="635" t="str">
        <f t="shared" si="94"/>
        <v/>
      </c>
      <c r="AA276" s="633" t="str">
        <f t="shared" si="95"/>
        <v/>
      </c>
      <c r="AB276" s="632" t="str">
        <f t="shared" si="115"/>
        <v/>
      </c>
      <c r="AC276" s="634" t="str">
        <f t="shared" si="97"/>
        <v/>
      </c>
      <c r="AD276" s="635" t="str">
        <f t="shared" si="98"/>
        <v/>
      </c>
      <c r="AE276" s="633" t="str">
        <f t="shared" si="99"/>
        <v/>
      </c>
      <c r="AF276" s="632" t="str">
        <f t="shared" si="116"/>
        <v/>
      </c>
      <c r="AG276" s="636" t="str">
        <f t="shared" si="101"/>
        <v/>
      </c>
      <c r="AH276" s="637" t="str">
        <f t="shared" si="102"/>
        <v/>
      </c>
      <c r="AI276" s="633" t="str">
        <f t="shared" si="103"/>
        <v/>
      </c>
      <c r="AJ276" s="632" t="str">
        <f t="shared" si="117"/>
        <v/>
      </c>
      <c r="AK276" s="634" t="str">
        <f t="shared" si="105"/>
        <v/>
      </c>
      <c r="AL276" s="635" t="str">
        <f t="shared" si="106"/>
        <v/>
      </c>
      <c r="AM276" s="645" t="str">
        <f t="shared" si="107"/>
        <v/>
      </c>
      <c r="AN276" s="38"/>
    </row>
    <row r="277" spans="1:40" ht="13.2" x14ac:dyDescent="0.25">
      <c r="A277" s="26"/>
      <c r="B277" s="38"/>
      <c r="C277" s="261" t="s">
        <v>441</v>
      </c>
      <c r="D277" s="644" t="str">
        <f t="shared" si="122"/>
        <v/>
      </c>
      <c r="E277" s="635" t="str">
        <f t="shared" si="121"/>
        <v/>
      </c>
      <c r="F277" s="357"/>
      <c r="G277" s="357"/>
      <c r="H277" s="357"/>
      <c r="I277" s="357"/>
      <c r="J277" s="357"/>
      <c r="K277" s="357"/>
      <c r="L277" s="357"/>
      <c r="M277" s="38"/>
      <c r="N277" s="632" t="str">
        <f t="shared" si="84"/>
        <v/>
      </c>
      <c r="O277" s="633" t="str">
        <f t="shared" si="85"/>
        <v/>
      </c>
      <c r="P277" s="632" t="str">
        <f t="shared" si="118"/>
        <v/>
      </c>
      <c r="Q277" s="634" t="str">
        <f t="shared" si="86"/>
        <v/>
      </c>
      <c r="R277" s="635" t="str">
        <f t="shared" si="119"/>
        <v/>
      </c>
      <c r="S277" s="633" t="str">
        <f t="shared" si="87"/>
        <v/>
      </c>
      <c r="T277" s="632" t="str">
        <f t="shared" si="113"/>
        <v/>
      </c>
      <c r="U277" s="636" t="str">
        <f t="shared" si="89"/>
        <v/>
      </c>
      <c r="V277" s="637" t="str">
        <f t="shared" si="90"/>
        <v/>
      </c>
      <c r="W277" s="633" t="str">
        <f t="shared" si="91"/>
        <v/>
      </c>
      <c r="X277" s="632" t="str">
        <f t="shared" si="114"/>
        <v/>
      </c>
      <c r="Y277" s="634" t="str">
        <f t="shared" si="93"/>
        <v/>
      </c>
      <c r="Z277" s="635" t="str">
        <f t="shared" si="94"/>
        <v/>
      </c>
      <c r="AA277" s="633" t="str">
        <f t="shared" si="95"/>
        <v/>
      </c>
      <c r="AB277" s="632" t="str">
        <f t="shared" si="115"/>
        <v/>
      </c>
      <c r="AC277" s="634" t="str">
        <f t="shared" si="97"/>
        <v/>
      </c>
      <c r="AD277" s="635" t="str">
        <f t="shared" si="98"/>
        <v/>
      </c>
      <c r="AE277" s="633" t="str">
        <f t="shared" si="99"/>
        <v/>
      </c>
      <c r="AF277" s="632" t="str">
        <f t="shared" si="116"/>
        <v/>
      </c>
      <c r="AG277" s="636" t="str">
        <f t="shared" si="101"/>
        <v/>
      </c>
      <c r="AH277" s="637" t="str">
        <f t="shared" si="102"/>
        <v/>
      </c>
      <c r="AI277" s="633" t="str">
        <f t="shared" si="103"/>
        <v/>
      </c>
      <c r="AJ277" s="632" t="str">
        <f t="shared" si="117"/>
        <v/>
      </c>
      <c r="AK277" s="634" t="str">
        <f t="shared" si="105"/>
        <v/>
      </c>
      <c r="AL277" s="635" t="str">
        <f t="shared" si="106"/>
        <v/>
      </c>
      <c r="AM277" s="645" t="str">
        <f t="shared" si="107"/>
        <v/>
      </c>
      <c r="AN277" s="38"/>
    </row>
    <row r="278" spans="1:40" ht="13.2" x14ac:dyDescent="0.25">
      <c r="A278" s="26"/>
      <c r="B278" s="38"/>
      <c r="C278" s="261" t="s">
        <v>441</v>
      </c>
      <c r="D278" s="644" t="str">
        <f t="shared" si="122"/>
        <v/>
      </c>
      <c r="E278" s="635" t="str">
        <f t="shared" si="121"/>
        <v/>
      </c>
      <c r="F278" s="357"/>
      <c r="G278" s="357"/>
      <c r="H278" s="357"/>
      <c r="I278" s="357"/>
      <c r="J278" s="357"/>
      <c r="K278" s="357"/>
      <c r="L278" s="357"/>
      <c r="M278" s="38"/>
      <c r="N278" s="632" t="str">
        <f t="shared" si="84"/>
        <v/>
      </c>
      <c r="O278" s="633" t="str">
        <f t="shared" si="85"/>
        <v/>
      </c>
      <c r="P278" s="632" t="str">
        <f t="shared" si="118"/>
        <v/>
      </c>
      <c r="Q278" s="634" t="str">
        <f t="shared" si="86"/>
        <v/>
      </c>
      <c r="R278" s="635" t="str">
        <f t="shared" si="119"/>
        <v/>
      </c>
      <c r="S278" s="633" t="str">
        <f t="shared" si="87"/>
        <v/>
      </c>
      <c r="T278" s="632" t="str">
        <f t="shared" si="113"/>
        <v/>
      </c>
      <c r="U278" s="636" t="str">
        <f t="shared" si="89"/>
        <v/>
      </c>
      <c r="V278" s="637" t="str">
        <f t="shared" si="90"/>
        <v/>
      </c>
      <c r="W278" s="633" t="str">
        <f t="shared" si="91"/>
        <v/>
      </c>
      <c r="X278" s="632" t="str">
        <f t="shared" si="114"/>
        <v/>
      </c>
      <c r="Y278" s="634" t="str">
        <f t="shared" si="93"/>
        <v/>
      </c>
      <c r="Z278" s="635" t="str">
        <f t="shared" si="94"/>
        <v/>
      </c>
      <c r="AA278" s="633" t="str">
        <f t="shared" si="95"/>
        <v/>
      </c>
      <c r="AB278" s="632" t="str">
        <f t="shared" si="115"/>
        <v/>
      </c>
      <c r="AC278" s="634" t="str">
        <f t="shared" si="97"/>
        <v/>
      </c>
      <c r="AD278" s="635" t="str">
        <f t="shared" si="98"/>
        <v/>
      </c>
      <c r="AE278" s="633" t="str">
        <f t="shared" si="99"/>
        <v/>
      </c>
      <c r="AF278" s="632" t="str">
        <f t="shared" si="116"/>
        <v/>
      </c>
      <c r="AG278" s="636" t="str">
        <f t="shared" si="101"/>
        <v/>
      </c>
      <c r="AH278" s="637" t="str">
        <f t="shared" si="102"/>
        <v/>
      </c>
      <c r="AI278" s="633" t="str">
        <f t="shared" si="103"/>
        <v/>
      </c>
      <c r="AJ278" s="632" t="str">
        <f t="shared" si="117"/>
        <v/>
      </c>
      <c r="AK278" s="634" t="str">
        <f t="shared" si="105"/>
        <v/>
      </c>
      <c r="AL278" s="635" t="str">
        <f t="shared" si="106"/>
        <v/>
      </c>
      <c r="AM278" s="645" t="str">
        <f t="shared" si="107"/>
        <v/>
      </c>
      <c r="AN278" s="38"/>
    </row>
    <row r="279" spans="1:40" ht="13.2" x14ac:dyDescent="0.25">
      <c r="A279" s="26"/>
      <c r="B279" s="38"/>
      <c r="C279" s="261" t="s">
        <v>441</v>
      </c>
      <c r="D279" s="644" t="str">
        <f t="shared" si="122"/>
        <v/>
      </c>
      <c r="E279" s="635" t="str">
        <f t="shared" si="121"/>
        <v/>
      </c>
      <c r="F279" s="357"/>
      <c r="G279" s="357"/>
      <c r="H279" s="357"/>
      <c r="I279" s="357"/>
      <c r="J279" s="357"/>
      <c r="K279" s="357"/>
      <c r="L279" s="357"/>
      <c r="M279" s="38"/>
      <c r="N279" s="632" t="str">
        <f t="shared" si="84"/>
        <v/>
      </c>
      <c r="O279" s="633" t="str">
        <f t="shared" si="85"/>
        <v/>
      </c>
      <c r="P279" s="632" t="str">
        <f t="shared" si="118"/>
        <v/>
      </c>
      <c r="Q279" s="634" t="str">
        <f t="shared" si="86"/>
        <v/>
      </c>
      <c r="R279" s="635" t="str">
        <f t="shared" si="119"/>
        <v/>
      </c>
      <c r="S279" s="633" t="str">
        <f t="shared" si="87"/>
        <v/>
      </c>
      <c r="T279" s="632" t="str">
        <f t="shared" si="113"/>
        <v/>
      </c>
      <c r="U279" s="636" t="str">
        <f t="shared" si="89"/>
        <v/>
      </c>
      <c r="V279" s="637" t="str">
        <f t="shared" si="90"/>
        <v/>
      </c>
      <c r="W279" s="633" t="str">
        <f t="shared" si="91"/>
        <v/>
      </c>
      <c r="X279" s="632" t="str">
        <f t="shared" si="114"/>
        <v/>
      </c>
      <c r="Y279" s="634" t="str">
        <f t="shared" si="93"/>
        <v/>
      </c>
      <c r="Z279" s="635" t="str">
        <f t="shared" si="94"/>
        <v/>
      </c>
      <c r="AA279" s="633" t="str">
        <f t="shared" si="95"/>
        <v/>
      </c>
      <c r="AB279" s="632" t="str">
        <f t="shared" si="115"/>
        <v/>
      </c>
      <c r="AC279" s="634" t="str">
        <f t="shared" si="97"/>
        <v/>
      </c>
      <c r="AD279" s="635" t="str">
        <f t="shared" si="98"/>
        <v/>
      </c>
      <c r="AE279" s="633" t="str">
        <f t="shared" si="99"/>
        <v/>
      </c>
      <c r="AF279" s="632" t="str">
        <f t="shared" si="116"/>
        <v/>
      </c>
      <c r="AG279" s="636" t="str">
        <f t="shared" si="101"/>
        <v/>
      </c>
      <c r="AH279" s="637" t="str">
        <f t="shared" si="102"/>
        <v/>
      </c>
      <c r="AI279" s="633" t="str">
        <f t="shared" si="103"/>
        <v/>
      </c>
      <c r="AJ279" s="632" t="str">
        <f t="shared" si="117"/>
        <v/>
      </c>
      <c r="AK279" s="634" t="str">
        <f t="shared" si="105"/>
        <v/>
      </c>
      <c r="AL279" s="635" t="str">
        <f t="shared" si="106"/>
        <v/>
      </c>
      <c r="AM279" s="645" t="str">
        <f t="shared" si="107"/>
        <v/>
      </c>
      <c r="AN279" s="38"/>
    </row>
    <row r="280" spans="1:40" ht="13.2" x14ac:dyDescent="0.25">
      <c r="A280" s="26"/>
      <c r="B280" s="38"/>
      <c r="C280" s="261" t="s">
        <v>441</v>
      </c>
      <c r="D280" s="644" t="str">
        <f t="shared" si="122"/>
        <v/>
      </c>
      <c r="E280" s="635" t="str">
        <f t="shared" si="121"/>
        <v/>
      </c>
      <c r="F280" s="357"/>
      <c r="G280" s="357"/>
      <c r="H280" s="357"/>
      <c r="I280" s="357"/>
      <c r="J280" s="357"/>
      <c r="K280" s="357"/>
      <c r="L280" s="357"/>
      <c r="M280" s="38"/>
      <c r="N280" s="632" t="str">
        <f t="shared" si="84"/>
        <v/>
      </c>
      <c r="O280" s="633" t="str">
        <f t="shared" si="85"/>
        <v/>
      </c>
      <c r="P280" s="632" t="str">
        <f t="shared" si="118"/>
        <v/>
      </c>
      <c r="Q280" s="634" t="str">
        <f t="shared" si="86"/>
        <v/>
      </c>
      <c r="R280" s="635" t="str">
        <f t="shared" si="119"/>
        <v/>
      </c>
      <c r="S280" s="633" t="str">
        <f t="shared" si="87"/>
        <v/>
      </c>
      <c r="T280" s="632" t="str">
        <f t="shared" si="113"/>
        <v/>
      </c>
      <c r="U280" s="636" t="str">
        <f t="shared" si="89"/>
        <v/>
      </c>
      <c r="V280" s="637" t="str">
        <f t="shared" si="90"/>
        <v/>
      </c>
      <c r="W280" s="633" t="str">
        <f t="shared" si="91"/>
        <v/>
      </c>
      <c r="X280" s="632" t="str">
        <f t="shared" si="114"/>
        <v/>
      </c>
      <c r="Y280" s="634" t="str">
        <f t="shared" si="93"/>
        <v/>
      </c>
      <c r="Z280" s="635" t="str">
        <f t="shared" si="94"/>
        <v/>
      </c>
      <c r="AA280" s="633" t="str">
        <f t="shared" si="95"/>
        <v/>
      </c>
      <c r="AB280" s="632" t="str">
        <f t="shared" si="115"/>
        <v/>
      </c>
      <c r="AC280" s="634" t="str">
        <f t="shared" si="97"/>
        <v/>
      </c>
      <c r="AD280" s="635" t="str">
        <f t="shared" si="98"/>
        <v/>
      </c>
      <c r="AE280" s="633" t="str">
        <f t="shared" si="99"/>
        <v/>
      </c>
      <c r="AF280" s="632" t="str">
        <f t="shared" si="116"/>
        <v/>
      </c>
      <c r="AG280" s="636" t="str">
        <f t="shared" si="101"/>
        <v/>
      </c>
      <c r="AH280" s="637" t="str">
        <f t="shared" si="102"/>
        <v/>
      </c>
      <c r="AI280" s="633" t="str">
        <f t="shared" si="103"/>
        <v/>
      </c>
      <c r="AJ280" s="632" t="str">
        <f t="shared" si="117"/>
        <v/>
      </c>
      <c r="AK280" s="634" t="str">
        <f t="shared" si="105"/>
        <v/>
      </c>
      <c r="AL280" s="635" t="str">
        <f t="shared" si="106"/>
        <v/>
      </c>
      <c r="AM280" s="645" t="str">
        <f t="shared" si="107"/>
        <v/>
      </c>
      <c r="AN280" s="38"/>
    </row>
    <row r="281" spans="1:40" ht="13.2" x14ac:dyDescent="0.25">
      <c r="A281" s="26"/>
      <c r="B281" s="38"/>
      <c r="C281" s="261" t="s">
        <v>441</v>
      </c>
      <c r="D281" s="644" t="str">
        <f t="shared" si="122"/>
        <v/>
      </c>
      <c r="E281" s="635" t="str">
        <f t="shared" si="121"/>
        <v/>
      </c>
      <c r="F281" s="357"/>
      <c r="G281" s="357"/>
      <c r="H281" s="357"/>
      <c r="I281" s="357"/>
      <c r="J281" s="357"/>
      <c r="K281" s="357"/>
      <c r="L281" s="357"/>
      <c r="M281" s="38"/>
      <c r="N281" s="632" t="str">
        <f t="shared" si="84"/>
        <v/>
      </c>
      <c r="O281" s="633" t="str">
        <f t="shared" si="85"/>
        <v/>
      </c>
      <c r="P281" s="632" t="str">
        <f t="shared" si="118"/>
        <v/>
      </c>
      <c r="Q281" s="634" t="str">
        <f t="shared" si="86"/>
        <v/>
      </c>
      <c r="R281" s="635" t="str">
        <f t="shared" si="119"/>
        <v/>
      </c>
      <c r="S281" s="633" t="str">
        <f t="shared" si="87"/>
        <v/>
      </c>
      <c r="T281" s="632" t="str">
        <f t="shared" si="113"/>
        <v/>
      </c>
      <c r="U281" s="636" t="str">
        <f t="shared" si="89"/>
        <v/>
      </c>
      <c r="V281" s="637" t="str">
        <f t="shared" si="90"/>
        <v/>
      </c>
      <c r="W281" s="633" t="str">
        <f t="shared" si="91"/>
        <v/>
      </c>
      <c r="X281" s="632" t="str">
        <f t="shared" si="114"/>
        <v/>
      </c>
      <c r="Y281" s="634" t="str">
        <f t="shared" si="93"/>
        <v/>
      </c>
      <c r="Z281" s="635" t="str">
        <f t="shared" si="94"/>
        <v/>
      </c>
      <c r="AA281" s="633" t="str">
        <f t="shared" si="95"/>
        <v/>
      </c>
      <c r="AB281" s="632" t="str">
        <f t="shared" si="115"/>
        <v/>
      </c>
      <c r="AC281" s="634" t="str">
        <f t="shared" si="97"/>
        <v/>
      </c>
      <c r="AD281" s="635" t="str">
        <f t="shared" si="98"/>
        <v/>
      </c>
      <c r="AE281" s="633" t="str">
        <f t="shared" si="99"/>
        <v/>
      </c>
      <c r="AF281" s="632" t="str">
        <f t="shared" si="116"/>
        <v/>
      </c>
      <c r="AG281" s="636" t="str">
        <f t="shared" si="101"/>
        <v/>
      </c>
      <c r="AH281" s="637" t="str">
        <f t="shared" si="102"/>
        <v/>
      </c>
      <c r="AI281" s="633" t="str">
        <f t="shared" si="103"/>
        <v/>
      </c>
      <c r="AJ281" s="632" t="str">
        <f t="shared" si="117"/>
        <v/>
      </c>
      <c r="AK281" s="634" t="str">
        <f t="shared" si="105"/>
        <v/>
      </c>
      <c r="AL281" s="635" t="str">
        <f t="shared" si="106"/>
        <v/>
      </c>
      <c r="AM281" s="645" t="str">
        <f t="shared" si="107"/>
        <v/>
      </c>
      <c r="AN281" s="38"/>
    </row>
    <row r="282" spans="1:40" ht="13.2" x14ac:dyDescent="0.25">
      <c r="A282" s="26"/>
      <c r="B282" s="38"/>
      <c r="C282" s="261" t="s">
        <v>441</v>
      </c>
      <c r="D282" s="644" t="str">
        <f t="shared" si="122"/>
        <v/>
      </c>
      <c r="E282" s="635" t="str">
        <f t="shared" si="121"/>
        <v/>
      </c>
      <c r="F282" s="357"/>
      <c r="G282" s="357"/>
      <c r="H282" s="357"/>
      <c r="I282" s="357"/>
      <c r="J282" s="357"/>
      <c r="K282" s="357"/>
      <c r="L282" s="357"/>
      <c r="M282" s="38"/>
      <c r="N282" s="632" t="str">
        <f t="shared" si="84"/>
        <v/>
      </c>
      <c r="O282" s="633" t="str">
        <f t="shared" si="85"/>
        <v/>
      </c>
      <c r="P282" s="632" t="str">
        <f t="shared" si="118"/>
        <v/>
      </c>
      <c r="Q282" s="634" t="str">
        <f t="shared" si="86"/>
        <v/>
      </c>
      <c r="R282" s="635" t="str">
        <f t="shared" si="119"/>
        <v/>
      </c>
      <c r="S282" s="633" t="str">
        <f t="shared" si="87"/>
        <v/>
      </c>
      <c r="T282" s="632" t="str">
        <f t="shared" si="113"/>
        <v/>
      </c>
      <c r="U282" s="636" t="str">
        <f t="shared" si="89"/>
        <v/>
      </c>
      <c r="V282" s="637" t="str">
        <f t="shared" si="90"/>
        <v/>
      </c>
      <c r="W282" s="633" t="str">
        <f t="shared" si="91"/>
        <v/>
      </c>
      <c r="X282" s="632" t="str">
        <f t="shared" si="114"/>
        <v/>
      </c>
      <c r="Y282" s="634" t="str">
        <f t="shared" si="93"/>
        <v/>
      </c>
      <c r="Z282" s="635" t="str">
        <f t="shared" si="94"/>
        <v/>
      </c>
      <c r="AA282" s="633" t="str">
        <f t="shared" si="95"/>
        <v/>
      </c>
      <c r="AB282" s="632" t="str">
        <f t="shared" si="115"/>
        <v/>
      </c>
      <c r="AC282" s="634" t="str">
        <f t="shared" si="97"/>
        <v/>
      </c>
      <c r="AD282" s="635" t="str">
        <f t="shared" si="98"/>
        <v/>
      </c>
      <c r="AE282" s="633" t="str">
        <f t="shared" si="99"/>
        <v/>
      </c>
      <c r="AF282" s="632" t="str">
        <f t="shared" si="116"/>
        <v/>
      </c>
      <c r="AG282" s="636" t="str">
        <f t="shared" si="101"/>
        <v/>
      </c>
      <c r="AH282" s="637" t="str">
        <f t="shared" si="102"/>
        <v/>
      </c>
      <c r="AI282" s="633" t="str">
        <f t="shared" si="103"/>
        <v/>
      </c>
      <c r="AJ282" s="632" t="str">
        <f t="shared" si="117"/>
        <v/>
      </c>
      <c r="AK282" s="634" t="str">
        <f t="shared" si="105"/>
        <v/>
      </c>
      <c r="AL282" s="635" t="str">
        <f t="shared" si="106"/>
        <v/>
      </c>
      <c r="AM282" s="645" t="str">
        <f t="shared" si="107"/>
        <v/>
      </c>
      <c r="AN282" s="38"/>
    </row>
    <row r="283" spans="1:40" s="162" customFormat="1" ht="13.2" x14ac:dyDescent="0.25">
      <c r="A283" s="454"/>
      <c r="B283" s="455"/>
      <c r="C283" s="473"/>
      <c r="D283" s="473" t="s">
        <v>419</v>
      </c>
      <c r="E283" s="635">
        <f>E157</f>
        <v>2345.9813864281959</v>
      </c>
      <c r="F283" s="635">
        <f>F640/'WK3 - Notional GI Yr1 YIELD'!$D$71</f>
        <v>2399.9389583160441</v>
      </c>
      <c r="G283" s="635">
        <f>G640/'WK3 - Notional GI Yr1 YIELD'!$D$71</f>
        <v>2459.937432273945</v>
      </c>
      <c r="H283" s="635">
        <f>H640/'WK3 - Notional GI Yr1 YIELD'!$D$71</f>
        <v>2521.4358680807932</v>
      </c>
      <c r="I283" s="635">
        <f>I640/'WK3 - Notional GI Yr1 YIELD'!$D$71</f>
        <v>2584.4717647828129</v>
      </c>
      <c r="J283" s="635">
        <f>J640/'WK3 - Notional GI Yr1 YIELD'!$D$71</f>
        <v>2649.0835589023832</v>
      </c>
      <c r="K283" s="635">
        <f>K640/'WK3 - Notional GI Yr1 YIELD'!$D$71</f>
        <v>0</v>
      </c>
      <c r="L283" s="635">
        <f>L640/'WK3 - Notional GI Yr1 YIELD'!$D$71</f>
        <v>0</v>
      </c>
      <c r="M283" s="455"/>
      <c r="N283" s="632">
        <f t="shared" si="84"/>
        <v>53.957571887848189</v>
      </c>
      <c r="O283" s="633">
        <f t="shared" si="85"/>
        <v>2.2999999999999864E-2</v>
      </c>
      <c r="P283" s="632">
        <f t="shared" si="118"/>
        <v>59.998473957900842</v>
      </c>
      <c r="Q283" s="634">
        <f t="shared" si="86"/>
        <v>2.499999999999989E-2</v>
      </c>
      <c r="R283" s="635">
        <f t="shared" si="119"/>
        <v>113.95604584574903</v>
      </c>
      <c r="S283" s="633">
        <f t="shared" si="87"/>
        <v>4.857499999999975E-2</v>
      </c>
      <c r="T283" s="632">
        <f t="shared" si="113"/>
        <v>61.498435806848192</v>
      </c>
      <c r="U283" s="636">
        <f t="shared" si="89"/>
        <v>2.4999999999999824E-2</v>
      </c>
      <c r="V283" s="637">
        <f t="shared" si="90"/>
        <v>175.45448165259722</v>
      </c>
      <c r="W283" s="633">
        <f t="shared" si="91"/>
        <v>7.4789374999999561E-2</v>
      </c>
      <c r="X283" s="632">
        <f t="shared" si="114"/>
        <v>63.035896702019727</v>
      </c>
      <c r="Y283" s="634">
        <f t="shared" si="93"/>
        <v>2.499999999999996E-2</v>
      </c>
      <c r="Z283" s="635">
        <f t="shared" si="94"/>
        <v>238.49037835461695</v>
      </c>
      <c r="AA283" s="633">
        <f t="shared" si="95"/>
        <v>0.1016591093749995</v>
      </c>
      <c r="AB283" s="632">
        <f t="shared" si="115"/>
        <v>64.611794119570277</v>
      </c>
      <c r="AC283" s="634">
        <f t="shared" si="97"/>
        <v>2.4999999999999984E-2</v>
      </c>
      <c r="AD283" s="635">
        <f t="shared" si="98"/>
        <v>303.10217247418723</v>
      </c>
      <c r="AE283" s="633">
        <f t="shared" si="99"/>
        <v>0.12920058710937446</v>
      </c>
      <c r="AF283" s="632" t="str">
        <f t="shared" si="116"/>
        <v/>
      </c>
      <c r="AG283" s="636" t="str">
        <f t="shared" si="101"/>
        <v/>
      </c>
      <c r="AH283" s="637" t="str">
        <f t="shared" si="102"/>
        <v/>
      </c>
      <c r="AI283" s="633" t="str">
        <f t="shared" si="103"/>
        <v/>
      </c>
      <c r="AJ283" s="632" t="str">
        <f t="shared" si="117"/>
        <v/>
      </c>
      <c r="AK283" s="634" t="str">
        <f t="shared" si="105"/>
        <v/>
      </c>
      <c r="AL283" s="635" t="str">
        <f t="shared" si="106"/>
        <v/>
      </c>
      <c r="AM283" s="645" t="str">
        <f t="shared" si="107"/>
        <v/>
      </c>
      <c r="AN283" s="455"/>
    </row>
    <row r="284" spans="1:40" ht="13.2" x14ac:dyDescent="0.25">
      <c r="A284" s="26"/>
      <c r="B284" s="38"/>
      <c r="C284" s="261" t="s">
        <v>208</v>
      </c>
      <c r="D284" s="644" t="str">
        <f>D158</f>
        <v/>
      </c>
      <c r="E284" s="635" t="str">
        <f>E158</f>
        <v/>
      </c>
      <c r="F284" s="357"/>
      <c r="G284" s="357"/>
      <c r="H284" s="357"/>
      <c r="I284" s="357"/>
      <c r="J284" s="357"/>
      <c r="K284" s="357"/>
      <c r="L284" s="357"/>
      <c r="M284" s="38"/>
      <c r="N284" s="632" t="str">
        <f t="shared" si="84"/>
        <v/>
      </c>
      <c r="O284" s="633" t="str">
        <f t="shared" si="85"/>
        <v/>
      </c>
      <c r="P284" s="632" t="str">
        <f t="shared" si="118"/>
        <v/>
      </c>
      <c r="Q284" s="634" t="str">
        <f t="shared" si="86"/>
        <v/>
      </c>
      <c r="R284" s="635" t="str">
        <f t="shared" si="119"/>
        <v/>
      </c>
      <c r="S284" s="633" t="str">
        <f t="shared" si="87"/>
        <v/>
      </c>
      <c r="T284" s="632" t="str">
        <f t="shared" si="113"/>
        <v/>
      </c>
      <c r="U284" s="636" t="str">
        <f t="shared" si="89"/>
        <v/>
      </c>
      <c r="V284" s="637" t="str">
        <f t="shared" si="90"/>
        <v/>
      </c>
      <c r="W284" s="633" t="str">
        <f t="shared" si="91"/>
        <v/>
      </c>
      <c r="X284" s="632" t="str">
        <f t="shared" si="114"/>
        <v/>
      </c>
      <c r="Y284" s="634" t="str">
        <f t="shared" si="93"/>
        <v/>
      </c>
      <c r="Z284" s="635" t="str">
        <f t="shared" si="94"/>
        <v/>
      </c>
      <c r="AA284" s="633" t="str">
        <f t="shared" si="95"/>
        <v/>
      </c>
      <c r="AB284" s="632" t="str">
        <f t="shared" si="115"/>
        <v/>
      </c>
      <c r="AC284" s="634" t="str">
        <f t="shared" si="97"/>
        <v/>
      </c>
      <c r="AD284" s="635" t="str">
        <f t="shared" si="98"/>
        <v/>
      </c>
      <c r="AE284" s="633" t="str">
        <f t="shared" si="99"/>
        <v/>
      </c>
      <c r="AF284" s="632" t="str">
        <f t="shared" si="116"/>
        <v/>
      </c>
      <c r="AG284" s="636" t="str">
        <f t="shared" si="101"/>
        <v/>
      </c>
      <c r="AH284" s="637" t="str">
        <f t="shared" si="102"/>
        <v/>
      </c>
      <c r="AI284" s="633" t="str">
        <f t="shared" si="103"/>
        <v/>
      </c>
      <c r="AJ284" s="632" t="str">
        <f t="shared" si="117"/>
        <v/>
      </c>
      <c r="AK284" s="634" t="str">
        <f t="shared" si="105"/>
        <v/>
      </c>
      <c r="AL284" s="635" t="str">
        <f t="shared" si="106"/>
        <v/>
      </c>
      <c r="AM284" s="645" t="str">
        <f t="shared" si="107"/>
        <v/>
      </c>
      <c r="AN284" s="38"/>
    </row>
    <row r="285" spans="1:40" ht="13.2" x14ac:dyDescent="0.25">
      <c r="A285" s="26"/>
      <c r="B285" s="38"/>
      <c r="C285" s="261" t="s">
        <v>208</v>
      </c>
      <c r="D285" s="644" t="str">
        <f t="shared" ref="D285:E303" si="123">D159</f>
        <v/>
      </c>
      <c r="E285" s="635" t="str">
        <f t="shared" si="123"/>
        <v/>
      </c>
      <c r="F285" s="357"/>
      <c r="G285" s="357"/>
      <c r="H285" s="357"/>
      <c r="I285" s="357"/>
      <c r="J285" s="357"/>
      <c r="K285" s="357"/>
      <c r="L285" s="357"/>
      <c r="M285" s="38"/>
      <c r="N285" s="632" t="str">
        <f t="shared" si="84"/>
        <v/>
      </c>
      <c r="O285" s="633" t="str">
        <f t="shared" si="85"/>
        <v/>
      </c>
      <c r="P285" s="632" t="str">
        <f t="shared" si="118"/>
        <v/>
      </c>
      <c r="Q285" s="634" t="str">
        <f t="shared" si="86"/>
        <v/>
      </c>
      <c r="R285" s="635" t="str">
        <f t="shared" si="119"/>
        <v/>
      </c>
      <c r="S285" s="633" t="str">
        <f t="shared" si="87"/>
        <v/>
      </c>
      <c r="T285" s="632" t="str">
        <f t="shared" si="113"/>
        <v/>
      </c>
      <c r="U285" s="636" t="str">
        <f t="shared" si="89"/>
        <v/>
      </c>
      <c r="V285" s="637" t="str">
        <f t="shared" si="90"/>
        <v/>
      </c>
      <c r="W285" s="633" t="str">
        <f t="shared" si="91"/>
        <v/>
      </c>
      <c r="X285" s="632" t="str">
        <f t="shared" si="114"/>
        <v/>
      </c>
      <c r="Y285" s="634" t="str">
        <f t="shared" si="93"/>
        <v/>
      </c>
      <c r="Z285" s="635" t="str">
        <f t="shared" si="94"/>
        <v/>
      </c>
      <c r="AA285" s="633" t="str">
        <f t="shared" si="95"/>
        <v/>
      </c>
      <c r="AB285" s="632" t="str">
        <f t="shared" si="115"/>
        <v/>
      </c>
      <c r="AC285" s="634" t="str">
        <f t="shared" si="97"/>
        <v/>
      </c>
      <c r="AD285" s="635" t="str">
        <f t="shared" si="98"/>
        <v/>
      </c>
      <c r="AE285" s="633" t="str">
        <f t="shared" si="99"/>
        <v/>
      </c>
      <c r="AF285" s="632" t="str">
        <f t="shared" si="116"/>
        <v/>
      </c>
      <c r="AG285" s="636" t="str">
        <f t="shared" si="101"/>
        <v/>
      </c>
      <c r="AH285" s="637" t="str">
        <f t="shared" si="102"/>
        <v/>
      </c>
      <c r="AI285" s="633" t="str">
        <f t="shared" si="103"/>
        <v/>
      </c>
      <c r="AJ285" s="632" t="str">
        <f t="shared" si="117"/>
        <v/>
      </c>
      <c r="AK285" s="634" t="str">
        <f t="shared" si="105"/>
        <v/>
      </c>
      <c r="AL285" s="635" t="str">
        <f t="shared" si="106"/>
        <v/>
      </c>
      <c r="AM285" s="645" t="str">
        <f t="shared" si="107"/>
        <v/>
      </c>
      <c r="AN285" s="38"/>
    </row>
    <row r="286" spans="1:40" ht="13.2" x14ac:dyDescent="0.25">
      <c r="A286" s="26"/>
      <c r="B286" s="38"/>
      <c r="C286" s="261" t="s">
        <v>208</v>
      </c>
      <c r="D286" s="644" t="str">
        <f t="shared" si="123"/>
        <v/>
      </c>
      <c r="E286" s="635" t="str">
        <f t="shared" si="123"/>
        <v/>
      </c>
      <c r="F286" s="357"/>
      <c r="G286" s="357"/>
      <c r="H286" s="357"/>
      <c r="I286" s="357"/>
      <c r="J286" s="357"/>
      <c r="K286" s="357"/>
      <c r="L286" s="357"/>
      <c r="M286" s="38"/>
      <c r="N286" s="632" t="str">
        <f t="shared" si="84"/>
        <v/>
      </c>
      <c r="O286" s="633" t="str">
        <f t="shared" si="85"/>
        <v/>
      </c>
      <c r="P286" s="632" t="str">
        <f t="shared" si="118"/>
        <v/>
      </c>
      <c r="Q286" s="634" t="str">
        <f t="shared" si="86"/>
        <v/>
      </c>
      <c r="R286" s="635" t="str">
        <f t="shared" si="119"/>
        <v/>
      </c>
      <c r="S286" s="633" t="str">
        <f t="shared" si="87"/>
        <v/>
      </c>
      <c r="T286" s="632" t="str">
        <f t="shared" si="113"/>
        <v/>
      </c>
      <c r="U286" s="636" t="str">
        <f t="shared" si="89"/>
        <v/>
      </c>
      <c r="V286" s="637" t="str">
        <f t="shared" si="90"/>
        <v/>
      </c>
      <c r="W286" s="633" t="str">
        <f t="shared" si="91"/>
        <v/>
      </c>
      <c r="X286" s="632" t="str">
        <f t="shared" si="114"/>
        <v/>
      </c>
      <c r="Y286" s="634" t="str">
        <f t="shared" si="93"/>
        <v/>
      </c>
      <c r="Z286" s="635" t="str">
        <f t="shared" si="94"/>
        <v/>
      </c>
      <c r="AA286" s="633" t="str">
        <f t="shared" si="95"/>
        <v/>
      </c>
      <c r="AB286" s="632" t="str">
        <f t="shared" si="115"/>
        <v/>
      </c>
      <c r="AC286" s="634" t="str">
        <f t="shared" si="97"/>
        <v/>
      </c>
      <c r="AD286" s="635" t="str">
        <f t="shared" si="98"/>
        <v/>
      </c>
      <c r="AE286" s="633" t="str">
        <f t="shared" si="99"/>
        <v/>
      </c>
      <c r="AF286" s="632" t="str">
        <f t="shared" si="116"/>
        <v/>
      </c>
      <c r="AG286" s="636" t="str">
        <f t="shared" si="101"/>
        <v/>
      </c>
      <c r="AH286" s="637" t="str">
        <f t="shared" si="102"/>
        <v/>
      </c>
      <c r="AI286" s="633" t="str">
        <f t="shared" si="103"/>
        <v/>
      </c>
      <c r="AJ286" s="632" t="str">
        <f t="shared" si="117"/>
        <v/>
      </c>
      <c r="AK286" s="634" t="str">
        <f t="shared" si="105"/>
        <v/>
      </c>
      <c r="AL286" s="635" t="str">
        <f t="shared" si="106"/>
        <v/>
      </c>
      <c r="AM286" s="645" t="str">
        <f t="shared" si="107"/>
        <v/>
      </c>
      <c r="AN286" s="38"/>
    </row>
    <row r="287" spans="1:40" ht="13.2" x14ac:dyDescent="0.25">
      <c r="A287" s="26"/>
      <c r="B287" s="38"/>
      <c r="C287" s="261" t="s">
        <v>208</v>
      </c>
      <c r="D287" s="644" t="str">
        <f t="shared" si="123"/>
        <v/>
      </c>
      <c r="E287" s="635" t="str">
        <f t="shared" si="123"/>
        <v/>
      </c>
      <c r="F287" s="357"/>
      <c r="G287" s="357"/>
      <c r="H287" s="357"/>
      <c r="I287" s="357"/>
      <c r="J287" s="357"/>
      <c r="K287" s="357"/>
      <c r="L287" s="357"/>
      <c r="M287" s="38"/>
      <c r="N287" s="632" t="str">
        <f t="shared" si="84"/>
        <v/>
      </c>
      <c r="O287" s="633" t="str">
        <f t="shared" si="85"/>
        <v/>
      </c>
      <c r="P287" s="632" t="str">
        <f t="shared" si="118"/>
        <v/>
      </c>
      <c r="Q287" s="634" t="str">
        <f t="shared" si="86"/>
        <v/>
      </c>
      <c r="R287" s="635" t="str">
        <f t="shared" si="119"/>
        <v/>
      </c>
      <c r="S287" s="633" t="str">
        <f t="shared" si="87"/>
        <v/>
      </c>
      <c r="T287" s="632" t="str">
        <f t="shared" si="113"/>
        <v/>
      </c>
      <c r="U287" s="636" t="str">
        <f t="shared" si="89"/>
        <v/>
      </c>
      <c r="V287" s="637" t="str">
        <f t="shared" si="90"/>
        <v/>
      </c>
      <c r="W287" s="633" t="str">
        <f t="shared" si="91"/>
        <v/>
      </c>
      <c r="X287" s="632" t="str">
        <f t="shared" si="114"/>
        <v/>
      </c>
      <c r="Y287" s="634" t="str">
        <f t="shared" si="93"/>
        <v/>
      </c>
      <c r="Z287" s="635" t="str">
        <f t="shared" si="94"/>
        <v/>
      </c>
      <c r="AA287" s="633" t="str">
        <f t="shared" si="95"/>
        <v/>
      </c>
      <c r="AB287" s="632" t="str">
        <f t="shared" si="115"/>
        <v/>
      </c>
      <c r="AC287" s="634" t="str">
        <f t="shared" si="97"/>
        <v/>
      </c>
      <c r="AD287" s="635" t="str">
        <f t="shared" si="98"/>
        <v/>
      </c>
      <c r="AE287" s="633" t="str">
        <f t="shared" si="99"/>
        <v/>
      </c>
      <c r="AF287" s="632" t="str">
        <f t="shared" si="116"/>
        <v/>
      </c>
      <c r="AG287" s="636" t="str">
        <f t="shared" si="101"/>
        <v/>
      </c>
      <c r="AH287" s="637" t="str">
        <f t="shared" si="102"/>
        <v/>
      </c>
      <c r="AI287" s="633" t="str">
        <f t="shared" si="103"/>
        <v/>
      </c>
      <c r="AJ287" s="632" t="str">
        <f t="shared" si="117"/>
        <v/>
      </c>
      <c r="AK287" s="634" t="str">
        <f t="shared" si="105"/>
        <v/>
      </c>
      <c r="AL287" s="635" t="str">
        <f t="shared" si="106"/>
        <v/>
      </c>
      <c r="AM287" s="645" t="str">
        <f t="shared" si="107"/>
        <v/>
      </c>
      <c r="AN287" s="38"/>
    </row>
    <row r="288" spans="1:40" ht="13.2" x14ac:dyDescent="0.25">
      <c r="A288" s="26"/>
      <c r="B288" s="38"/>
      <c r="C288" s="261" t="s">
        <v>208</v>
      </c>
      <c r="D288" s="644" t="str">
        <f t="shared" si="123"/>
        <v/>
      </c>
      <c r="E288" s="635" t="str">
        <f t="shared" si="123"/>
        <v/>
      </c>
      <c r="F288" s="357"/>
      <c r="G288" s="357"/>
      <c r="H288" s="357"/>
      <c r="I288" s="357"/>
      <c r="J288" s="357"/>
      <c r="K288" s="357"/>
      <c r="L288" s="357"/>
      <c r="M288" s="38"/>
      <c r="N288" s="632" t="str">
        <f t="shared" si="84"/>
        <v/>
      </c>
      <c r="O288" s="633" t="str">
        <f t="shared" si="85"/>
        <v/>
      </c>
      <c r="P288" s="632" t="str">
        <f t="shared" si="118"/>
        <v/>
      </c>
      <c r="Q288" s="634" t="str">
        <f t="shared" si="86"/>
        <v/>
      </c>
      <c r="R288" s="635" t="str">
        <f t="shared" si="119"/>
        <v/>
      </c>
      <c r="S288" s="633" t="str">
        <f t="shared" si="87"/>
        <v/>
      </c>
      <c r="T288" s="632" t="str">
        <f t="shared" si="113"/>
        <v/>
      </c>
      <c r="U288" s="636" t="str">
        <f t="shared" si="89"/>
        <v/>
      </c>
      <c r="V288" s="637" t="str">
        <f t="shared" si="90"/>
        <v/>
      </c>
      <c r="W288" s="633" t="str">
        <f t="shared" si="91"/>
        <v/>
      </c>
      <c r="X288" s="632" t="str">
        <f t="shared" si="114"/>
        <v/>
      </c>
      <c r="Y288" s="634" t="str">
        <f t="shared" si="93"/>
        <v/>
      </c>
      <c r="Z288" s="635" t="str">
        <f t="shared" si="94"/>
        <v/>
      </c>
      <c r="AA288" s="633" t="str">
        <f t="shared" si="95"/>
        <v/>
      </c>
      <c r="AB288" s="632" t="str">
        <f t="shared" si="115"/>
        <v/>
      </c>
      <c r="AC288" s="634" t="str">
        <f t="shared" si="97"/>
        <v/>
      </c>
      <c r="AD288" s="635" t="str">
        <f t="shared" si="98"/>
        <v/>
      </c>
      <c r="AE288" s="633" t="str">
        <f t="shared" si="99"/>
        <v/>
      </c>
      <c r="AF288" s="632" t="str">
        <f t="shared" si="116"/>
        <v/>
      </c>
      <c r="AG288" s="636" t="str">
        <f t="shared" si="101"/>
        <v/>
      </c>
      <c r="AH288" s="637" t="str">
        <f t="shared" si="102"/>
        <v/>
      </c>
      <c r="AI288" s="633" t="str">
        <f t="shared" si="103"/>
        <v/>
      </c>
      <c r="AJ288" s="632" t="str">
        <f t="shared" si="117"/>
        <v/>
      </c>
      <c r="AK288" s="634" t="str">
        <f t="shared" si="105"/>
        <v/>
      </c>
      <c r="AL288" s="635" t="str">
        <f t="shared" si="106"/>
        <v/>
      </c>
      <c r="AM288" s="645" t="str">
        <f t="shared" si="107"/>
        <v/>
      </c>
      <c r="AN288" s="38"/>
    </row>
    <row r="289" spans="1:40" ht="13.2" x14ac:dyDescent="0.25">
      <c r="A289" s="26"/>
      <c r="B289" s="38"/>
      <c r="C289" s="261" t="s">
        <v>208</v>
      </c>
      <c r="D289" s="644" t="str">
        <f t="shared" si="123"/>
        <v/>
      </c>
      <c r="E289" s="635" t="str">
        <f t="shared" si="123"/>
        <v/>
      </c>
      <c r="F289" s="357"/>
      <c r="G289" s="357"/>
      <c r="H289" s="357"/>
      <c r="I289" s="357"/>
      <c r="J289" s="357"/>
      <c r="K289" s="357"/>
      <c r="L289" s="357"/>
      <c r="M289" s="38"/>
      <c r="N289" s="632" t="str">
        <f t="shared" si="84"/>
        <v/>
      </c>
      <c r="O289" s="633" t="str">
        <f t="shared" si="85"/>
        <v/>
      </c>
      <c r="P289" s="632" t="str">
        <f t="shared" si="118"/>
        <v/>
      </c>
      <c r="Q289" s="634" t="str">
        <f t="shared" si="86"/>
        <v/>
      </c>
      <c r="R289" s="635" t="str">
        <f t="shared" si="119"/>
        <v/>
      </c>
      <c r="S289" s="633" t="str">
        <f t="shared" si="87"/>
        <v/>
      </c>
      <c r="T289" s="632" t="str">
        <f t="shared" si="113"/>
        <v/>
      </c>
      <c r="U289" s="636" t="str">
        <f t="shared" si="89"/>
        <v/>
      </c>
      <c r="V289" s="637" t="str">
        <f t="shared" si="90"/>
        <v/>
      </c>
      <c r="W289" s="633" t="str">
        <f t="shared" si="91"/>
        <v/>
      </c>
      <c r="X289" s="632" t="str">
        <f t="shared" si="114"/>
        <v/>
      </c>
      <c r="Y289" s="634" t="str">
        <f t="shared" si="93"/>
        <v/>
      </c>
      <c r="Z289" s="635" t="str">
        <f t="shared" si="94"/>
        <v/>
      </c>
      <c r="AA289" s="633" t="str">
        <f t="shared" si="95"/>
        <v/>
      </c>
      <c r="AB289" s="632" t="str">
        <f t="shared" si="115"/>
        <v/>
      </c>
      <c r="AC289" s="634" t="str">
        <f t="shared" si="97"/>
        <v/>
      </c>
      <c r="AD289" s="635" t="str">
        <f t="shared" si="98"/>
        <v/>
      </c>
      <c r="AE289" s="633" t="str">
        <f t="shared" si="99"/>
        <v/>
      </c>
      <c r="AF289" s="632" t="str">
        <f t="shared" si="116"/>
        <v/>
      </c>
      <c r="AG289" s="636" t="str">
        <f t="shared" si="101"/>
        <v/>
      </c>
      <c r="AH289" s="637" t="str">
        <f t="shared" si="102"/>
        <v/>
      </c>
      <c r="AI289" s="633" t="str">
        <f t="shared" si="103"/>
        <v/>
      </c>
      <c r="AJ289" s="632" t="str">
        <f t="shared" si="117"/>
        <v/>
      </c>
      <c r="AK289" s="634" t="str">
        <f t="shared" si="105"/>
        <v/>
      </c>
      <c r="AL289" s="635" t="str">
        <f t="shared" si="106"/>
        <v/>
      </c>
      <c r="AM289" s="645" t="str">
        <f t="shared" si="107"/>
        <v/>
      </c>
      <c r="AN289" s="38"/>
    </row>
    <row r="290" spans="1:40" ht="13.2" x14ac:dyDescent="0.25">
      <c r="A290" s="26"/>
      <c r="B290" s="38"/>
      <c r="C290" s="261" t="s">
        <v>208</v>
      </c>
      <c r="D290" s="644" t="str">
        <f t="shared" si="123"/>
        <v/>
      </c>
      <c r="E290" s="635" t="str">
        <f t="shared" si="123"/>
        <v/>
      </c>
      <c r="F290" s="357"/>
      <c r="G290" s="357"/>
      <c r="H290" s="357"/>
      <c r="I290" s="357"/>
      <c r="J290" s="357"/>
      <c r="K290" s="357"/>
      <c r="L290" s="357"/>
      <c r="M290" s="38"/>
      <c r="N290" s="632" t="str">
        <f t="shared" si="84"/>
        <v/>
      </c>
      <c r="O290" s="633" t="str">
        <f t="shared" si="85"/>
        <v/>
      </c>
      <c r="P290" s="632" t="str">
        <f t="shared" si="118"/>
        <v/>
      </c>
      <c r="Q290" s="634" t="str">
        <f t="shared" si="86"/>
        <v/>
      </c>
      <c r="R290" s="635" t="str">
        <f t="shared" si="119"/>
        <v/>
      </c>
      <c r="S290" s="633" t="str">
        <f t="shared" si="87"/>
        <v/>
      </c>
      <c r="T290" s="632" t="str">
        <f t="shared" si="113"/>
        <v/>
      </c>
      <c r="U290" s="636" t="str">
        <f t="shared" si="89"/>
        <v/>
      </c>
      <c r="V290" s="637" t="str">
        <f t="shared" si="90"/>
        <v/>
      </c>
      <c r="W290" s="633" t="str">
        <f t="shared" si="91"/>
        <v/>
      </c>
      <c r="X290" s="632" t="str">
        <f t="shared" si="114"/>
        <v/>
      </c>
      <c r="Y290" s="634" t="str">
        <f t="shared" si="93"/>
        <v/>
      </c>
      <c r="Z290" s="635" t="str">
        <f t="shared" si="94"/>
        <v/>
      </c>
      <c r="AA290" s="633" t="str">
        <f t="shared" si="95"/>
        <v/>
      </c>
      <c r="AB290" s="632" t="str">
        <f t="shared" si="115"/>
        <v/>
      </c>
      <c r="AC290" s="634" t="str">
        <f t="shared" si="97"/>
        <v/>
      </c>
      <c r="AD290" s="635" t="str">
        <f t="shared" si="98"/>
        <v/>
      </c>
      <c r="AE290" s="633" t="str">
        <f t="shared" si="99"/>
        <v/>
      </c>
      <c r="AF290" s="632" t="str">
        <f t="shared" si="116"/>
        <v/>
      </c>
      <c r="AG290" s="636" t="str">
        <f t="shared" si="101"/>
        <v/>
      </c>
      <c r="AH290" s="637" t="str">
        <f t="shared" si="102"/>
        <v/>
      </c>
      <c r="AI290" s="633" t="str">
        <f t="shared" si="103"/>
        <v/>
      </c>
      <c r="AJ290" s="632" t="str">
        <f t="shared" si="117"/>
        <v/>
      </c>
      <c r="AK290" s="634" t="str">
        <f t="shared" si="105"/>
        <v/>
      </c>
      <c r="AL290" s="635" t="str">
        <f t="shared" si="106"/>
        <v/>
      </c>
      <c r="AM290" s="645" t="str">
        <f t="shared" si="107"/>
        <v/>
      </c>
      <c r="AN290" s="38"/>
    </row>
    <row r="291" spans="1:40" ht="13.2" x14ac:dyDescent="0.25">
      <c r="A291" s="26"/>
      <c r="B291" s="38"/>
      <c r="C291" s="261" t="s">
        <v>208</v>
      </c>
      <c r="D291" s="644" t="str">
        <f t="shared" si="123"/>
        <v/>
      </c>
      <c r="E291" s="635" t="str">
        <f t="shared" si="123"/>
        <v/>
      </c>
      <c r="F291" s="357"/>
      <c r="G291" s="357"/>
      <c r="H291" s="357"/>
      <c r="I291" s="357"/>
      <c r="J291" s="357"/>
      <c r="K291" s="357"/>
      <c r="L291" s="357"/>
      <c r="M291" s="38"/>
      <c r="N291" s="632" t="str">
        <f t="shared" si="84"/>
        <v/>
      </c>
      <c r="O291" s="633" t="str">
        <f t="shared" si="85"/>
        <v/>
      </c>
      <c r="P291" s="632" t="str">
        <f t="shared" si="118"/>
        <v/>
      </c>
      <c r="Q291" s="634" t="str">
        <f t="shared" si="86"/>
        <v/>
      </c>
      <c r="R291" s="635" t="str">
        <f t="shared" si="119"/>
        <v/>
      </c>
      <c r="S291" s="633" t="str">
        <f t="shared" si="87"/>
        <v/>
      </c>
      <c r="T291" s="632" t="str">
        <f t="shared" si="113"/>
        <v/>
      </c>
      <c r="U291" s="636" t="str">
        <f t="shared" si="89"/>
        <v/>
      </c>
      <c r="V291" s="637" t="str">
        <f t="shared" si="90"/>
        <v/>
      </c>
      <c r="W291" s="633" t="str">
        <f t="shared" si="91"/>
        <v/>
      </c>
      <c r="X291" s="632" t="str">
        <f t="shared" si="114"/>
        <v/>
      </c>
      <c r="Y291" s="634" t="str">
        <f t="shared" si="93"/>
        <v/>
      </c>
      <c r="Z291" s="635" t="str">
        <f t="shared" si="94"/>
        <v/>
      </c>
      <c r="AA291" s="633" t="str">
        <f t="shared" si="95"/>
        <v/>
      </c>
      <c r="AB291" s="632" t="str">
        <f t="shared" si="115"/>
        <v/>
      </c>
      <c r="AC291" s="634" t="str">
        <f t="shared" si="97"/>
        <v/>
      </c>
      <c r="AD291" s="635" t="str">
        <f t="shared" si="98"/>
        <v/>
      </c>
      <c r="AE291" s="633" t="str">
        <f t="shared" si="99"/>
        <v/>
      </c>
      <c r="AF291" s="632" t="str">
        <f t="shared" si="116"/>
        <v/>
      </c>
      <c r="AG291" s="636" t="str">
        <f t="shared" si="101"/>
        <v/>
      </c>
      <c r="AH291" s="637" t="str">
        <f t="shared" si="102"/>
        <v/>
      </c>
      <c r="AI291" s="633" t="str">
        <f t="shared" si="103"/>
        <v/>
      </c>
      <c r="AJ291" s="632" t="str">
        <f t="shared" si="117"/>
        <v/>
      </c>
      <c r="AK291" s="634" t="str">
        <f t="shared" si="105"/>
        <v/>
      </c>
      <c r="AL291" s="635" t="str">
        <f t="shared" si="106"/>
        <v/>
      </c>
      <c r="AM291" s="645" t="str">
        <f t="shared" si="107"/>
        <v/>
      </c>
      <c r="AN291" s="38"/>
    </row>
    <row r="292" spans="1:40" ht="13.2" x14ac:dyDescent="0.25">
      <c r="A292" s="26"/>
      <c r="B292" s="38"/>
      <c r="C292" s="261" t="s">
        <v>208</v>
      </c>
      <c r="D292" s="644" t="str">
        <f t="shared" si="123"/>
        <v/>
      </c>
      <c r="E292" s="635" t="str">
        <f t="shared" si="123"/>
        <v/>
      </c>
      <c r="F292" s="357"/>
      <c r="G292" s="357"/>
      <c r="H292" s="357"/>
      <c r="I292" s="357"/>
      <c r="J292" s="357"/>
      <c r="K292" s="357"/>
      <c r="L292" s="357"/>
      <c r="M292" s="38"/>
      <c r="N292" s="632" t="str">
        <f t="shared" si="84"/>
        <v/>
      </c>
      <c r="O292" s="633" t="str">
        <f t="shared" si="85"/>
        <v/>
      </c>
      <c r="P292" s="632" t="str">
        <f t="shared" si="118"/>
        <v/>
      </c>
      <c r="Q292" s="634" t="str">
        <f t="shared" si="86"/>
        <v/>
      </c>
      <c r="R292" s="635" t="str">
        <f t="shared" si="119"/>
        <v/>
      </c>
      <c r="S292" s="633" t="str">
        <f t="shared" si="87"/>
        <v/>
      </c>
      <c r="T292" s="632" t="str">
        <f t="shared" si="113"/>
        <v/>
      </c>
      <c r="U292" s="636" t="str">
        <f t="shared" si="89"/>
        <v/>
      </c>
      <c r="V292" s="637" t="str">
        <f t="shared" si="90"/>
        <v/>
      </c>
      <c r="W292" s="633" t="str">
        <f t="shared" si="91"/>
        <v/>
      </c>
      <c r="X292" s="632" t="str">
        <f t="shared" si="114"/>
        <v/>
      </c>
      <c r="Y292" s="634" t="str">
        <f t="shared" si="93"/>
        <v/>
      </c>
      <c r="Z292" s="635" t="str">
        <f t="shared" si="94"/>
        <v/>
      </c>
      <c r="AA292" s="633" t="str">
        <f t="shared" si="95"/>
        <v/>
      </c>
      <c r="AB292" s="632" t="str">
        <f t="shared" si="115"/>
        <v/>
      </c>
      <c r="AC292" s="634" t="str">
        <f t="shared" si="97"/>
        <v/>
      </c>
      <c r="AD292" s="635" t="str">
        <f t="shared" si="98"/>
        <v/>
      </c>
      <c r="AE292" s="633" t="str">
        <f t="shared" si="99"/>
        <v/>
      </c>
      <c r="AF292" s="632" t="str">
        <f t="shared" si="116"/>
        <v/>
      </c>
      <c r="AG292" s="636" t="str">
        <f t="shared" si="101"/>
        <v/>
      </c>
      <c r="AH292" s="637" t="str">
        <f t="shared" si="102"/>
        <v/>
      </c>
      <c r="AI292" s="633" t="str">
        <f t="shared" si="103"/>
        <v/>
      </c>
      <c r="AJ292" s="632" t="str">
        <f t="shared" si="117"/>
        <v/>
      </c>
      <c r="AK292" s="634" t="str">
        <f t="shared" si="105"/>
        <v/>
      </c>
      <c r="AL292" s="635" t="str">
        <f t="shared" si="106"/>
        <v/>
      </c>
      <c r="AM292" s="645" t="str">
        <f t="shared" si="107"/>
        <v/>
      </c>
      <c r="AN292" s="38"/>
    </row>
    <row r="293" spans="1:40" ht="13.2" x14ac:dyDescent="0.25">
      <c r="A293" s="26"/>
      <c r="B293" s="38"/>
      <c r="C293" s="261" t="s">
        <v>208</v>
      </c>
      <c r="D293" s="644" t="str">
        <f t="shared" si="123"/>
        <v/>
      </c>
      <c r="E293" s="635" t="str">
        <f t="shared" si="123"/>
        <v/>
      </c>
      <c r="F293" s="357"/>
      <c r="G293" s="357"/>
      <c r="H293" s="357"/>
      <c r="I293" s="357"/>
      <c r="J293" s="357"/>
      <c r="K293" s="357"/>
      <c r="L293" s="357"/>
      <c r="M293" s="38"/>
      <c r="N293" s="632" t="str">
        <f t="shared" si="84"/>
        <v/>
      </c>
      <c r="O293" s="633" t="str">
        <f t="shared" si="85"/>
        <v/>
      </c>
      <c r="P293" s="632" t="str">
        <f t="shared" si="118"/>
        <v/>
      </c>
      <c r="Q293" s="634" t="str">
        <f t="shared" si="86"/>
        <v/>
      </c>
      <c r="R293" s="635" t="str">
        <f t="shared" si="119"/>
        <v/>
      </c>
      <c r="S293" s="633" t="str">
        <f t="shared" si="87"/>
        <v/>
      </c>
      <c r="T293" s="632" t="str">
        <f t="shared" si="113"/>
        <v/>
      </c>
      <c r="U293" s="636" t="str">
        <f t="shared" si="89"/>
        <v/>
      </c>
      <c r="V293" s="637" t="str">
        <f t="shared" si="90"/>
        <v/>
      </c>
      <c r="W293" s="633" t="str">
        <f t="shared" si="91"/>
        <v/>
      </c>
      <c r="X293" s="632" t="str">
        <f t="shared" si="114"/>
        <v/>
      </c>
      <c r="Y293" s="634" t="str">
        <f t="shared" si="93"/>
        <v/>
      </c>
      <c r="Z293" s="635" t="str">
        <f t="shared" si="94"/>
        <v/>
      </c>
      <c r="AA293" s="633" t="str">
        <f t="shared" si="95"/>
        <v/>
      </c>
      <c r="AB293" s="632" t="str">
        <f t="shared" si="115"/>
        <v/>
      </c>
      <c r="AC293" s="634" t="str">
        <f t="shared" si="97"/>
        <v/>
      </c>
      <c r="AD293" s="635" t="str">
        <f t="shared" si="98"/>
        <v/>
      </c>
      <c r="AE293" s="633" t="str">
        <f t="shared" si="99"/>
        <v/>
      </c>
      <c r="AF293" s="632" t="str">
        <f t="shared" si="116"/>
        <v/>
      </c>
      <c r="AG293" s="636" t="str">
        <f t="shared" si="101"/>
        <v/>
      </c>
      <c r="AH293" s="637" t="str">
        <f t="shared" si="102"/>
        <v/>
      </c>
      <c r="AI293" s="633" t="str">
        <f t="shared" si="103"/>
        <v/>
      </c>
      <c r="AJ293" s="632" t="str">
        <f t="shared" si="117"/>
        <v/>
      </c>
      <c r="AK293" s="634" t="str">
        <f t="shared" si="105"/>
        <v/>
      </c>
      <c r="AL293" s="635" t="str">
        <f t="shared" si="106"/>
        <v/>
      </c>
      <c r="AM293" s="645" t="str">
        <f t="shared" si="107"/>
        <v/>
      </c>
      <c r="AN293" s="38"/>
    </row>
    <row r="294" spans="1:40" ht="13.2" x14ac:dyDescent="0.25">
      <c r="A294" s="26"/>
      <c r="B294" s="38"/>
      <c r="C294" s="261" t="s">
        <v>441</v>
      </c>
      <c r="D294" s="644" t="str">
        <f t="shared" si="123"/>
        <v/>
      </c>
      <c r="E294" s="635" t="str">
        <f t="shared" si="123"/>
        <v/>
      </c>
      <c r="F294" s="357"/>
      <c r="G294" s="357"/>
      <c r="H294" s="357"/>
      <c r="I294" s="357"/>
      <c r="J294" s="357"/>
      <c r="K294" s="357"/>
      <c r="L294" s="357"/>
      <c r="M294" s="38"/>
      <c r="N294" s="632" t="str">
        <f t="shared" si="84"/>
        <v/>
      </c>
      <c r="O294" s="633" t="str">
        <f t="shared" si="85"/>
        <v/>
      </c>
      <c r="P294" s="632" t="str">
        <f t="shared" si="118"/>
        <v/>
      </c>
      <c r="Q294" s="634" t="str">
        <f t="shared" si="86"/>
        <v/>
      </c>
      <c r="R294" s="635" t="str">
        <f t="shared" si="119"/>
        <v/>
      </c>
      <c r="S294" s="633" t="str">
        <f t="shared" si="87"/>
        <v/>
      </c>
      <c r="T294" s="632" t="str">
        <f t="shared" si="113"/>
        <v/>
      </c>
      <c r="U294" s="636" t="str">
        <f t="shared" si="89"/>
        <v/>
      </c>
      <c r="V294" s="637" t="str">
        <f t="shared" si="90"/>
        <v/>
      </c>
      <c r="W294" s="633" t="str">
        <f t="shared" si="91"/>
        <v/>
      </c>
      <c r="X294" s="632" t="str">
        <f t="shared" si="114"/>
        <v/>
      </c>
      <c r="Y294" s="634" t="str">
        <f t="shared" si="93"/>
        <v/>
      </c>
      <c r="Z294" s="635" t="str">
        <f t="shared" si="94"/>
        <v/>
      </c>
      <c r="AA294" s="633" t="str">
        <f t="shared" si="95"/>
        <v/>
      </c>
      <c r="AB294" s="632" t="str">
        <f t="shared" si="115"/>
        <v/>
      </c>
      <c r="AC294" s="634" t="str">
        <f t="shared" si="97"/>
        <v/>
      </c>
      <c r="AD294" s="635" t="str">
        <f t="shared" si="98"/>
        <v/>
      </c>
      <c r="AE294" s="633" t="str">
        <f t="shared" si="99"/>
        <v/>
      </c>
      <c r="AF294" s="632" t="str">
        <f t="shared" si="116"/>
        <v/>
      </c>
      <c r="AG294" s="636" t="str">
        <f t="shared" si="101"/>
        <v/>
      </c>
      <c r="AH294" s="637" t="str">
        <f t="shared" si="102"/>
        <v/>
      </c>
      <c r="AI294" s="633" t="str">
        <f t="shared" si="103"/>
        <v/>
      </c>
      <c r="AJ294" s="632" t="str">
        <f t="shared" si="117"/>
        <v/>
      </c>
      <c r="AK294" s="634" t="str">
        <f t="shared" si="105"/>
        <v/>
      </c>
      <c r="AL294" s="635" t="str">
        <f t="shared" si="106"/>
        <v/>
      </c>
      <c r="AM294" s="645" t="str">
        <f t="shared" si="107"/>
        <v/>
      </c>
      <c r="AN294" s="38"/>
    </row>
    <row r="295" spans="1:40" ht="13.2" x14ac:dyDescent="0.25">
      <c r="A295" s="26"/>
      <c r="B295" s="38"/>
      <c r="C295" s="261" t="s">
        <v>441</v>
      </c>
      <c r="D295" s="644" t="str">
        <f t="shared" si="123"/>
        <v/>
      </c>
      <c r="E295" s="635" t="str">
        <f t="shared" si="123"/>
        <v/>
      </c>
      <c r="F295" s="357"/>
      <c r="G295" s="357"/>
      <c r="H295" s="357"/>
      <c r="I295" s="357"/>
      <c r="J295" s="357"/>
      <c r="K295" s="357"/>
      <c r="L295" s="357"/>
      <c r="M295" s="38"/>
      <c r="N295" s="632" t="str">
        <f t="shared" si="84"/>
        <v/>
      </c>
      <c r="O295" s="633" t="str">
        <f t="shared" si="85"/>
        <v/>
      </c>
      <c r="P295" s="632" t="str">
        <f t="shared" si="118"/>
        <v/>
      </c>
      <c r="Q295" s="634" t="str">
        <f t="shared" si="86"/>
        <v/>
      </c>
      <c r="R295" s="635" t="str">
        <f t="shared" si="119"/>
        <v/>
      </c>
      <c r="S295" s="633" t="str">
        <f t="shared" si="87"/>
        <v/>
      </c>
      <c r="T295" s="632" t="str">
        <f t="shared" si="113"/>
        <v/>
      </c>
      <c r="U295" s="636" t="str">
        <f t="shared" si="89"/>
        <v/>
      </c>
      <c r="V295" s="637" t="str">
        <f t="shared" si="90"/>
        <v/>
      </c>
      <c r="W295" s="633" t="str">
        <f t="shared" si="91"/>
        <v/>
      </c>
      <c r="X295" s="632" t="str">
        <f t="shared" si="114"/>
        <v/>
      </c>
      <c r="Y295" s="634" t="str">
        <f t="shared" si="93"/>
        <v/>
      </c>
      <c r="Z295" s="635" t="str">
        <f t="shared" si="94"/>
        <v/>
      </c>
      <c r="AA295" s="633" t="str">
        <f t="shared" si="95"/>
        <v/>
      </c>
      <c r="AB295" s="632" t="str">
        <f t="shared" si="115"/>
        <v/>
      </c>
      <c r="AC295" s="634" t="str">
        <f t="shared" si="97"/>
        <v/>
      </c>
      <c r="AD295" s="635" t="str">
        <f t="shared" si="98"/>
        <v/>
      </c>
      <c r="AE295" s="633" t="str">
        <f t="shared" si="99"/>
        <v/>
      </c>
      <c r="AF295" s="632" t="str">
        <f t="shared" si="116"/>
        <v/>
      </c>
      <c r="AG295" s="636" t="str">
        <f t="shared" si="101"/>
        <v/>
      </c>
      <c r="AH295" s="637" t="str">
        <f t="shared" si="102"/>
        <v/>
      </c>
      <c r="AI295" s="633" t="str">
        <f t="shared" si="103"/>
        <v/>
      </c>
      <c r="AJ295" s="632" t="str">
        <f t="shared" si="117"/>
        <v/>
      </c>
      <c r="AK295" s="634" t="str">
        <f t="shared" si="105"/>
        <v/>
      </c>
      <c r="AL295" s="635" t="str">
        <f t="shared" si="106"/>
        <v/>
      </c>
      <c r="AM295" s="645" t="str">
        <f t="shared" si="107"/>
        <v/>
      </c>
      <c r="AN295" s="38"/>
    </row>
    <row r="296" spans="1:40" ht="13.2" x14ac:dyDescent="0.25">
      <c r="A296" s="26"/>
      <c r="B296" s="38"/>
      <c r="C296" s="261" t="s">
        <v>441</v>
      </c>
      <c r="D296" s="644" t="str">
        <f t="shared" si="123"/>
        <v/>
      </c>
      <c r="E296" s="635" t="str">
        <f t="shared" si="123"/>
        <v/>
      </c>
      <c r="F296" s="357"/>
      <c r="G296" s="357"/>
      <c r="H296" s="357"/>
      <c r="I296" s="357"/>
      <c r="J296" s="357"/>
      <c r="K296" s="357"/>
      <c r="L296" s="357"/>
      <c r="M296" s="38"/>
      <c r="N296" s="632" t="str">
        <f t="shared" si="84"/>
        <v/>
      </c>
      <c r="O296" s="633" t="str">
        <f t="shared" si="85"/>
        <v/>
      </c>
      <c r="P296" s="632" t="str">
        <f t="shared" si="118"/>
        <v/>
      </c>
      <c r="Q296" s="634" t="str">
        <f t="shared" si="86"/>
        <v/>
      </c>
      <c r="R296" s="635" t="str">
        <f t="shared" si="119"/>
        <v/>
      </c>
      <c r="S296" s="633" t="str">
        <f t="shared" si="87"/>
        <v/>
      </c>
      <c r="T296" s="632" t="str">
        <f t="shared" si="113"/>
        <v/>
      </c>
      <c r="U296" s="636" t="str">
        <f t="shared" si="89"/>
        <v/>
      </c>
      <c r="V296" s="637" t="str">
        <f t="shared" si="90"/>
        <v/>
      </c>
      <c r="W296" s="633" t="str">
        <f t="shared" si="91"/>
        <v/>
      </c>
      <c r="X296" s="632" t="str">
        <f t="shared" si="114"/>
        <v/>
      </c>
      <c r="Y296" s="634" t="str">
        <f t="shared" si="93"/>
        <v/>
      </c>
      <c r="Z296" s="635" t="str">
        <f t="shared" si="94"/>
        <v/>
      </c>
      <c r="AA296" s="633" t="str">
        <f t="shared" si="95"/>
        <v/>
      </c>
      <c r="AB296" s="632" t="str">
        <f t="shared" si="115"/>
        <v/>
      </c>
      <c r="AC296" s="634" t="str">
        <f t="shared" si="97"/>
        <v/>
      </c>
      <c r="AD296" s="635" t="str">
        <f t="shared" si="98"/>
        <v/>
      </c>
      <c r="AE296" s="633" t="str">
        <f t="shared" si="99"/>
        <v/>
      </c>
      <c r="AF296" s="632" t="str">
        <f t="shared" si="116"/>
        <v/>
      </c>
      <c r="AG296" s="636" t="str">
        <f t="shared" si="101"/>
        <v/>
      </c>
      <c r="AH296" s="637" t="str">
        <f t="shared" si="102"/>
        <v/>
      </c>
      <c r="AI296" s="633" t="str">
        <f t="shared" si="103"/>
        <v/>
      </c>
      <c r="AJ296" s="632" t="str">
        <f t="shared" si="117"/>
        <v/>
      </c>
      <c r="AK296" s="634" t="str">
        <f t="shared" si="105"/>
        <v/>
      </c>
      <c r="AL296" s="635" t="str">
        <f t="shared" si="106"/>
        <v/>
      </c>
      <c r="AM296" s="645" t="str">
        <f t="shared" si="107"/>
        <v/>
      </c>
      <c r="AN296" s="38"/>
    </row>
    <row r="297" spans="1:40" ht="13.2" x14ac:dyDescent="0.25">
      <c r="A297" s="26"/>
      <c r="B297" s="38"/>
      <c r="C297" s="261" t="s">
        <v>441</v>
      </c>
      <c r="D297" s="644" t="str">
        <f t="shared" si="123"/>
        <v/>
      </c>
      <c r="E297" s="635" t="str">
        <f t="shared" si="123"/>
        <v/>
      </c>
      <c r="F297" s="357"/>
      <c r="G297" s="357"/>
      <c r="H297" s="357"/>
      <c r="I297" s="357"/>
      <c r="J297" s="357"/>
      <c r="K297" s="357"/>
      <c r="L297" s="357"/>
      <c r="M297" s="38"/>
      <c r="N297" s="632" t="str">
        <f t="shared" si="84"/>
        <v/>
      </c>
      <c r="O297" s="633" t="str">
        <f t="shared" si="85"/>
        <v/>
      </c>
      <c r="P297" s="632" t="str">
        <f t="shared" si="118"/>
        <v/>
      </c>
      <c r="Q297" s="634" t="str">
        <f t="shared" si="86"/>
        <v/>
      </c>
      <c r="R297" s="635" t="str">
        <f t="shared" si="119"/>
        <v/>
      </c>
      <c r="S297" s="633" t="str">
        <f t="shared" si="87"/>
        <v/>
      </c>
      <c r="T297" s="632" t="str">
        <f t="shared" si="113"/>
        <v/>
      </c>
      <c r="U297" s="636" t="str">
        <f t="shared" si="89"/>
        <v/>
      </c>
      <c r="V297" s="637" t="str">
        <f t="shared" si="90"/>
        <v/>
      </c>
      <c r="W297" s="633" t="str">
        <f t="shared" si="91"/>
        <v/>
      </c>
      <c r="X297" s="632" t="str">
        <f t="shared" si="114"/>
        <v/>
      </c>
      <c r="Y297" s="634" t="str">
        <f t="shared" si="93"/>
        <v/>
      </c>
      <c r="Z297" s="635" t="str">
        <f t="shared" si="94"/>
        <v/>
      </c>
      <c r="AA297" s="633" t="str">
        <f t="shared" si="95"/>
        <v/>
      </c>
      <c r="AB297" s="632" t="str">
        <f t="shared" si="115"/>
        <v/>
      </c>
      <c r="AC297" s="634" t="str">
        <f t="shared" si="97"/>
        <v/>
      </c>
      <c r="AD297" s="635" t="str">
        <f t="shared" si="98"/>
        <v/>
      </c>
      <c r="AE297" s="633" t="str">
        <f t="shared" si="99"/>
        <v/>
      </c>
      <c r="AF297" s="632" t="str">
        <f t="shared" si="116"/>
        <v/>
      </c>
      <c r="AG297" s="636" t="str">
        <f t="shared" si="101"/>
        <v/>
      </c>
      <c r="AH297" s="637" t="str">
        <f t="shared" si="102"/>
        <v/>
      </c>
      <c r="AI297" s="633" t="str">
        <f t="shared" si="103"/>
        <v/>
      </c>
      <c r="AJ297" s="632" t="str">
        <f t="shared" si="117"/>
        <v/>
      </c>
      <c r="AK297" s="634" t="str">
        <f t="shared" si="105"/>
        <v/>
      </c>
      <c r="AL297" s="635" t="str">
        <f t="shared" si="106"/>
        <v/>
      </c>
      <c r="AM297" s="645" t="str">
        <f t="shared" si="107"/>
        <v/>
      </c>
      <c r="AN297" s="38"/>
    </row>
    <row r="298" spans="1:40" ht="13.2" x14ac:dyDescent="0.25">
      <c r="A298" s="26"/>
      <c r="B298" s="38"/>
      <c r="C298" s="261" t="s">
        <v>441</v>
      </c>
      <c r="D298" s="644" t="str">
        <f t="shared" si="123"/>
        <v/>
      </c>
      <c r="E298" s="635" t="str">
        <f t="shared" si="123"/>
        <v/>
      </c>
      <c r="F298" s="357"/>
      <c r="G298" s="357"/>
      <c r="H298" s="357"/>
      <c r="I298" s="357"/>
      <c r="J298" s="357"/>
      <c r="K298" s="357"/>
      <c r="L298" s="357"/>
      <c r="M298" s="38"/>
      <c r="N298" s="632" t="str">
        <f t="shared" si="84"/>
        <v/>
      </c>
      <c r="O298" s="633" t="str">
        <f t="shared" si="85"/>
        <v/>
      </c>
      <c r="P298" s="632" t="str">
        <f t="shared" si="118"/>
        <v/>
      </c>
      <c r="Q298" s="634" t="str">
        <f t="shared" si="86"/>
        <v/>
      </c>
      <c r="R298" s="635" t="str">
        <f t="shared" si="119"/>
        <v/>
      </c>
      <c r="S298" s="633" t="str">
        <f t="shared" si="87"/>
        <v/>
      </c>
      <c r="T298" s="632" t="str">
        <f t="shared" si="113"/>
        <v/>
      </c>
      <c r="U298" s="636" t="str">
        <f t="shared" si="89"/>
        <v/>
      </c>
      <c r="V298" s="637" t="str">
        <f t="shared" si="90"/>
        <v/>
      </c>
      <c r="W298" s="633" t="str">
        <f t="shared" si="91"/>
        <v/>
      </c>
      <c r="X298" s="632" t="str">
        <f t="shared" si="114"/>
        <v/>
      </c>
      <c r="Y298" s="634" t="str">
        <f t="shared" si="93"/>
        <v/>
      </c>
      <c r="Z298" s="635" t="str">
        <f t="shared" si="94"/>
        <v/>
      </c>
      <c r="AA298" s="633" t="str">
        <f t="shared" si="95"/>
        <v/>
      </c>
      <c r="AB298" s="632" t="str">
        <f t="shared" si="115"/>
        <v/>
      </c>
      <c r="AC298" s="634" t="str">
        <f t="shared" si="97"/>
        <v/>
      </c>
      <c r="AD298" s="635" t="str">
        <f t="shared" si="98"/>
        <v/>
      </c>
      <c r="AE298" s="633" t="str">
        <f t="shared" si="99"/>
        <v/>
      </c>
      <c r="AF298" s="632" t="str">
        <f t="shared" si="116"/>
        <v/>
      </c>
      <c r="AG298" s="636" t="str">
        <f t="shared" si="101"/>
        <v/>
      </c>
      <c r="AH298" s="637" t="str">
        <f t="shared" si="102"/>
        <v/>
      </c>
      <c r="AI298" s="633" t="str">
        <f t="shared" si="103"/>
        <v/>
      </c>
      <c r="AJ298" s="632" t="str">
        <f t="shared" si="117"/>
        <v/>
      </c>
      <c r="AK298" s="634" t="str">
        <f t="shared" si="105"/>
        <v/>
      </c>
      <c r="AL298" s="635" t="str">
        <f t="shared" si="106"/>
        <v/>
      </c>
      <c r="AM298" s="645" t="str">
        <f t="shared" si="107"/>
        <v/>
      </c>
      <c r="AN298" s="38"/>
    </row>
    <row r="299" spans="1:40" ht="13.2" x14ac:dyDescent="0.25">
      <c r="A299" s="26"/>
      <c r="B299" s="38"/>
      <c r="C299" s="261" t="s">
        <v>441</v>
      </c>
      <c r="D299" s="644" t="str">
        <f t="shared" si="123"/>
        <v/>
      </c>
      <c r="E299" s="635" t="str">
        <f t="shared" si="123"/>
        <v/>
      </c>
      <c r="F299" s="357"/>
      <c r="G299" s="357"/>
      <c r="H299" s="357"/>
      <c r="I299" s="357"/>
      <c r="J299" s="357"/>
      <c r="K299" s="357"/>
      <c r="L299" s="357"/>
      <c r="M299" s="38"/>
      <c r="N299" s="632" t="str">
        <f t="shared" si="84"/>
        <v/>
      </c>
      <c r="O299" s="633" t="str">
        <f t="shared" si="85"/>
        <v/>
      </c>
      <c r="P299" s="632" t="str">
        <f t="shared" si="118"/>
        <v/>
      </c>
      <c r="Q299" s="634" t="str">
        <f t="shared" si="86"/>
        <v/>
      </c>
      <c r="R299" s="635" t="str">
        <f t="shared" si="119"/>
        <v/>
      </c>
      <c r="S299" s="633" t="str">
        <f t="shared" si="87"/>
        <v/>
      </c>
      <c r="T299" s="632" t="str">
        <f t="shared" si="113"/>
        <v/>
      </c>
      <c r="U299" s="636" t="str">
        <f t="shared" si="89"/>
        <v/>
      </c>
      <c r="V299" s="637" t="str">
        <f t="shared" si="90"/>
        <v/>
      </c>
      <c r="W299" s="633" t="str">
        <f t="shared" si="91"/>
        <v/>
      </c>
      <c r="X299" s="632" t="str">
        <f t="shared" si="114"/>
        <v/>
      </c>
      <c r="Y299" s="634" t="str">
        <f t="shared" si="93"/>
        <v/>
      </c>
      <c r="Z299" s="635" t="str">
        <f t="shared" si="94"/>
        <v/>
      </c>
      <c r="AA299" s="633" t="str">
        <f t="shared" si="95"/>
        <v/>
      </c>
      <c r="AB299" s="632" t="str">
        <f t="shared" si="115"/>
        <v/>
      </c>
      <c r="AC299" s="634" t="str">
        <f t="shared" si="97"/>
        <v/>
      </c>
      <c r="AD299" s="635" t="str">
        <f t="shared" si="98"/>
        <v/>
      </c>
      <c r="AE299" s="633" t="str">
        <f t="shared" si="99"/>
        <v/>
      </c>
      <c r="AF299" s="632" t="str">
        <f t="shared" si="116"/>
        <v/>
      </c>
      <c r="AG299" s="636" t="str">
        <f t="shared" si="101"/>
        <v/>
      </c>
      <c r="AH299" s="637" t="str">
        <f t="shared" si="102"/>
        <v/>
      </c>
      <c r="AI299" s="633" t="str">
        <f t="shared" si="103"/>
        <v/>
      </c>
      <c r="AJ299" s="632" t="str">
        <f t="shared" si="117"/>
        <v/>
      </c>
      <c r="AK299" s="634" t="str">
        <f t="shared" si="105"/>
        <v/>
      </c>
      <c r="AL299" s="635" t="str">
        <f t="shared" si="106"/>
        <v/>
      </c>
      <c r="AM299" s="645" t="str">
        <f t="shared" si="107"/>
        <v/>
      </c>
      <c r="AN299" s="38"/>
    </row>
    <row r="300" spans="1:40" ht="13.2" x14ac:dyDescent="0.25">
      <c r="A300" s="26"/>
      <c r="B300" s="38"/>
      <c r="C300" s="261" t="s">
        <v>441</v>
      </c>
      <c r="D300" s="644" t="str">
        <f t="shared" si="123"/>
        <v/>
      </c>
      <c r="E300" s="635" t="str">
        <f t="shared" si="123"/>
        <v/>
      </c>
      <c r="F300" s="357"/>
      <c r="G300" s="357"/>
      <c r="H300" s="357"/>
      <c r="I300" s="357"/>
      <c r="J300" s="357"/>
      <c r="K300" s="357"/>
      <c r="L300" s="357"/>
      <c r="M300" s="38"/>
      <c r="N300" s="632" t="str">
        <f t="shared" si="84"/>
        <v/>
      </c>
      <c r="O300" s="633" t="str">
        <f t="shared" si="85"/>
        <v/>
      </c>
      <c r="P300" s="632" t="str">
        <f t="shared" si="118"/>
        <v/>
      </c>
      <c r="Q300" s="634" t="str">
        <f t="shared" si="86"/>
        <v/>
      </c>
      <c r="R300" s="635" t="str">
        <f t="shared" si="119"/>
        <v/>
      </c>
      <c r="S300" s="633" t="str">
        <f t="shared" si="87"/>
        <v/>
      </c>
      <c r="T300" s="632" t="str">
        <f t="shared" si="113"/>
        <v/>
      </c>
      <c r="U300" s="636" t="str">
        <f t="shared" si="89"/>
        <v/>
      </c>
      <c r="V300" s="637" t="str">
        <f t="shared" si="90"/>
        <v/>
      </c>
      <c r="W300" s="633" t="str">
        <f t="shared" si="91"/>
        <v/>
      </c>
      <c r="X300" s="632" t="str">
        <f t="shared" si="114"/>
        <v/>
      </c>
      <c r="Y300" s="634" t="str">
        <f t="shared" si="93"/>
        <v/>
      </c>
      <c r="Z300" s="635" t="str">
        <f t="shared" si="94"/>
        <v/>
      </c>
      <c r="AA300" s="633" t="str">
        <f t="shared" si="95"/>
        <v/>
      </c>
      <c r="AB300" s="632" t="str">
        <f t="shared" si="115"/>
        <v/>
      </c>
      <c r="AC300" s="634" t="str">
        <f t="shared" si="97"/>
        <v/>
      </c>
      <c r="AD300" s="635" t="str">
        <f t="shared" si="98"/>
        <v/>
      </c>
      <c r="AE300" s="633" t="str">
        <f t="shared" si="99"/>
        <v/>
      </c>
      <c r="AF300" s="632" t="str">
        <f t="shared" si="116"/>
        <v/>
      </c>
      <c r="AG300" s="636" t="str">
        <f t="shared" si="101"/>
        <v/>
      </c>
      <c r="AH300" s="637" t="str">
        <f t="shared" si="102"/>
        <v/>
      </c>
      <c r="AI300" s="633" t="str">
        <f t="shared" si="103"/>
        <v/>
      </c>
      <c r="AJ300" s="632" t="str">
        <f t="shared" si="117"/>
        <v/>
      </c>
      <c r="AK300" s="634" t="str">
        <f t="shared" si="105"/>
        <v/>
      </c>
      <c r="AL300" s="635" t="str">
        <f t="shared" si="106"/>
        <v/>
      </c>
      <c r="AM300" s="645" t="str">
        <f t="shared" si="107"/>
        <v/>
      </c>
      <c r="AN300" s="38"/>
    </row>
    <row r="301" spans="1:40" ht="13.2" x14ac:dyDescent="0.25">
      <c r="A301" s="26"/>
      <c r="B301" s="38"/>
      <c r="C301" s="261" t="s">
        <v>441</v>
      </c>
      <c r="D301" s="644" t="str">
        <f t="shared" si="123"/>
        <v/>
      </c>
      <c r="E301" s="635" t="str">
        <f t="shared" si="123"/>
        <v/>
      </c>
      <c r="F301" s="357"/>
      <c r="G301" s="357"/>
      <c r="H301" s="357"/>
      <c r="I301" s="357"/>
      <c r="J301" s="357"/>
      <c r="K301" s="357"/>
      <c r="L301" s="357"/>
      <c r="M301" s="38"/>
      <c r="N301" s="632" t="str">
        <f t="shared" si="84"/>
        <v/>
      </c>
      <c r="O301" s="633" t="str">
        <f t="shared" si="85"/>
        <v/>
      </c>
      <c r="P301" s="632" t="str">
        <f t="shared" si="118"/>
        <v/>
      </c>
      <c r="Q301" s="634" t="str">
        <f t="shared" si="86"/>
        <v/>
      </c>
      <c r="R301" s="635" t="str">
        <f t="shared" si="119"/>
        <v/>
      </c>
      <c r="S301" s="633" t="str">
        <f t="shared" si="87"/>
        <v/>
      </c>
      <c r="T301" s="632" t="str">
        <f t="shared" si="113"/>
        <v/>
      </c>
      <c r="U301" s="636" t="str">
        <f t="shared" si="89"/>
        <v/>
      </c>
      <c r="V301" s="637" t="str">
        <f t="shared" si="90"/>
        <v/>
      </c>
      <c r="W301" s="633" t="str">
        <f t="shared" si="91"/>
        <v/>
      </c>
      <c r="X301" s="632" t="str">
        <f t="shared" si="114"/>
        <v/>
      </c>
      <c r="Y301" s="634" t="str">
        <f t="shared" si="93"/>
        <v/>
      </c>
      <c r="Z301" s="635" t="str">
        <f t="shared" si="94"/>
        <v/>
      </c>
      <c r="AA301" s="633" t="str">
        <f t="shared" si="95"/>
        <v/>
      </c>
      <c r="AB301" s="632" t="str">
        <f t="shared" si="115"/>
        <v/>
      </c>
      <c r="AC301" s="634" t="str">
        <f t="shared" si="97"/>
        <v/>
      </c>
      <c r="AD301" s="635" t="str">
        <f t="shared" si="98"/>
        <v/>
      </c>
      <c r="AE301" s="633" t="str">
        <f t="shared" si="99"/>
        <v/>
      </c>
      <c r="AF301" s="632" t="str">
        <f t="shared" si="116"/>
        <v/>
      </c>
      <c r="AG301" s="636" t="str">
        <f t="shared" si="101"/>
        <v/>
      </c>
      <c r="AH301" s="637" t="str">
        <f t="shared" si="102"/>
        <v/>
      </c>
      <c r="AI301" s="633" t="str">
        <f t="shared" si="103"/>
        <v/>
      </c>
      <c r="AJ301" s="632" t="str">
        <f t="shared" si="117"/>
        <v/>
      </c>
      <c r="AK301" s="634" t="str">
        <f t="shared" si="105"/>
        <v/>
      </c>
      <c r="AL301" s="635" t="str">
        <f t="shared" si="106"/>
        <v/>
      </c>
      <c r="AM301" s="645" t="str">
        <f t="shared" si="107"/>
        <v/>
      </c>
      <c r="AN301" s="38"/>
    </row>
    <row r="302" spans="1:40" ht="13.2" x14ac:dyDescent="0.25">
      <c r="A302" s="26"/>
      <c r="B302" s="38"/>
      <c r="C302" s="261" t="s">
        <v>441</v>
      </c>
      <c r="D302" s="644" t="str">
        <f t="shared" si="123"/>
        <v/>
      </c>
      <c r="E302" s="635" t="str">
        <f t="shared" si="123"/>
        <v/>
      </c>
      <c r="F302" s="357"/>
      <c r="G302" s="357"/>
      <c r="H302" s="357"/>
      <c r="I302" s="357"/>
      <c r="J302" s="357"/>
      <c r="K302" s="357"/>
      <c r="L302" s="357"/>
      <c r="M302" s="38"/>
      <c r="N302" s="632" t="str">
        <f t="shared" si="84"/>
        <v/>
      </c>
      <c r="O302" s="633" t="str">
        <f t="shared" si="85"/>
        <v/>
      </c>
      <c r="P302" s="632" t="str">
        <f t="shared" si="118"/>
        <v/>
      </c>
      <c r="Q302" s="634" t="str">
        <f t="shared" si="86"/>
        <v/>
      </c>
      <c r="R302" s="635" t="str">
        <f t="shared" si="119"/>
        <v/>
      </c>
      <c r="S302" s="633" t="str">
        <f t="shared" si="87"/>
        <v/>
      </c>
      <c r="T302" s="632" t="str">
        <f t="shared" si="113"/>
        <v/>
      </c>
      <c r="U302" s="636" t="str">
        <f t="shared" si="89"/>
        <v/>
      </c>
      <c r="V302" s="637" t="str">
        <f t="shared" si="90"/>
        <v/>
      </c>
      <c r="W302" s="633" t="str">
        <f t="shared" si="91"/>
        <v/>
      </c>
      <c r="X302" s="632" t="str">
        <f t="shared" si="114"/>
        <v/>
      </c>
      <c r="Y302" s="634" t="str">
        <f t="shared" si="93"/>
        <v/>
      </c>
      <c r="Z302" s="635" t="str">
        <f t="shared" si="94"/>
        <v/>
      </c>
      <c r="AA302" s="633" t="str">
        <f t="shared" si="95"/>
        <v/>
      </c>
      <c r="AB302" s="632" t="str">
        <f t="shared" si="115"/>
        <v/>
      </c>
      <c r="AC302" s="634" t="str">
        <f t="shared" si="97"/>
        <v/>
      </c>
      <c r="AD302" s="635" t="str">
        <f t="shared" si="98"/>
        <v/>
      </c>
      <c r="AE302" s="633" t="str">
        <f t="shared" si="99"/>
        <v/>
      </c>
      <c r="AF302" s="632" t="str">
        <f t="shared" si="116"/>
        <v/>
      </c>
      <c r="AG302" s="636" t="str">
        <f t="shared" si="101"/>
        <v/>
      </c>
      <c r="AH302" s="637" t="str">
        <f t="shared" si="102"/>
        <v/>
      </c>
      <c r="AI302" s="633" t="str">
        <f t="shared" si="103"/>
        <v/>
      </c>
      <c r="AJ302" s="632" t="str">
        <f t="shared" si="117"/>
        <v/>
      </c>
      <c r="AK302" s="634" t="str">
        <f t="shared" si="105"/>
        <v/>
      </c>
      <c r="AL302" s="635" t="str">
        <f t="shared" si="106"/>
        <v/>
      </c>
      <c r="AM302" s="645" t="str">
        <f t="shared" si="107"/>
        <v/>
      </c>
      <c r="AN302" s="38"/>
    </row>
    <row r="303" spans="1:40" ht="13.2" x14ac:dyDescent="0.25">
      <c r="A303" s="26"/>
      <c r="B303" s="38"/>
      <c r="C303" s="261" t="s">
        <v>441</v>
      </c>
      <c r="D303" s="644" t="str">
        <f t="shared" si="123"/>
        <v/>
      </c>
      <c r="E303" s="635" t="str">
        <f t="shared" si="123"/>
        <v/>
      </c>
      <c r="F303" s="357"/>
      <c r="G303" s="357"/>
      <c r="H303" s="357"/>
      <c r="I303" s="357"/>
      <c r="J303" s="357"/>
      <c r="K303" s="357"/>
      <c r="L303" s="357"/>
      <c r="M303" s="38"/>
      <c r="N303" s="632" t="str">
        <f t="shared" si="84"/>
        <v/>
      </c>
      <c r="O303" s="633" t="str">
        <f t="shared" si="85"/>
        <v/>
      </c>
      <c r="P303" s="632" t="str">
        <f t="shared" si="118"/>
        <v/>
      </c>
      <c r="Q303" s="634" t="str">
        <f t="shared" si="86"/>
        <v/>
      </c>
      <c r="R303" s="635" t="str">
        <f t="shared" si="119"/>
        <v/>
      </c>
      <c r="S303" s="633" t="str">
        <f t="shared" si="87"/>
        <v/>
      </c>
      <c r="T303" s="632" t="str">
        <f t="shared" si="113"/>
        <v/>
      </c>
      <c r="U303" s="636" t="str">
        <f t="shared" si="89"/>
        <v/>
      </c>
      <c r="V303" s="637" t="str">
        <f t="shared" si="90"/>
        <v/>
      </c>
      <c r="W303" s="633" t="str">
        <f t="shared" si="91"/>
        <v/>
      </c>
      <c r="X303" s="632" t="str">
        <f t="shared" si="114"/>
        <v/>
      </c>
      <c r="Y303" s="634" t="str">
        <f t="shared" si="93"/>
        <v/>
      </c>
      <c r="Z303" s="635" t="str">
        <f t="shared" si="94"/>
        <v/>
      </c>
      <c r="AA303" s="633" t="str">
        <f t="shared" si="95"/>
        <v/>
      </c>
      <c r="AB303" s="632" t="str">
        <f t="shared" si="115"/>
        <v/>
      </c>
      <c r="AC303" s="634" t="str">
        <f t="shared" si="97"/>
        <v/>
      </c>
      <c r="AD303" s="635" t="str">
        <f t="shared" si="98"/>
        <v/>
      </c>
      <c r="AE303" s="633" t="str">
        <f t="shared" si="99"/>
        <v/>
      </c>
      <c r="AF303" s="632" t="str">
        <f t="shared" si="116"/>
        <v/>
      </c>
      <c r="AG303" s="636" t="str">
        <f t="shared" si="101"/>
        <v/>
      </c>
      <c r="AH303" s="637" t="str">
        <f t="shared" si="102"/>
        <v/>
      </c>
      <c r="AI303" s="633" t="str">
        <f t="shared" si="103"/>
        <v/>
      </c>
      <c r="AJ303" s="632" t="str">
        <f t="shared" si="117"/>
        <v/>
      </c>
      <c r="AK303" s="634" t="str">
        <f t="shared" si="105"/>
        <v/>
      </c>
      <c r="AL303" s="635" t="str">
        <f t="shared" si="106"/>
        <v/>
      </c>
      <c r="AM303" s="645" t="str">
        <f t="shared" si="107"/>
        <v/>
      </c>
      <c r="AN303" s="38"/>
    </row>
    <row r="304" spans="1:40" s="162" customFormat="1" ht="13.2" x14ac:dyDescent="0.25">
      <c r="A304" s="454"/>
      <c r="B304" s="455"/>
      <c r="C304" s="473"/>
      <c r="D304" s="473" t="s">
        <v>419</v>
      </c>
      <c r="E304" s="635" t="str">
        <f>E178</f>
        <v/>
      </c>
      <c r="F304" s="635" t="e">
        <f>F661/'WK3 - Notional GI Yr1 YIELD'!$D$82</f>
        <v>#DIV/0!</v>
      </c>
      <c r="G304" s="635" t="e">
        <f>G661/'WK3 - Notional GI Yr1 YIELD'!$D$82</f>
        <v>#DIV/0!</v>
      </c>
      <c r="H304" s="635" t="e">
        <f>H661/'WK3 - Notional GI Yr1 YIELD'!$D$82</f>
        <v>#DIV/0!</v>
      </c>
      <c r="I304" s="635" t="e">
        <f>I661/'WK3 - Notional GI Yr1 YIELD'!$D$82</f>
        <v>#DIV/0!</v>
      </c>
      <c r="J304" s="635" t="e">
        <f>J661/'WK3 - Notional GI Yr1 YIELD'!$D$82</f>
        <v>#DIV/0!</v>
      </c>
      <c r="K304" s="635" t="e">
        <f>K661/'WK3 - Notional GI Yr1 YIELD'!$D$82</f>
        <v>#DIV/0!</v>
      </c>
      <c r="L304" s="635" t="e">
        <f>L661/'WK3 - Notional GI Yr1 YIELD'!$D$82</f>
        <v>#DIV/0!</v>
      </c>
      <c r="M304" s="455"/>
      <c r="N304" s="632" t="e">
        <f t="shared" si="84"/>
        <v>#DIV/0!</v>
      </c>
      <c r="O304" s="633" t="e">
        <f t="shared" si="85"/>
        <v>#DIV/0!</v>
      </c>
      <c r="P304" s="632" t="e">
        <f t="shared" si="118"/>
        <v>#DIV/0!</v>
      </c>
      <c r="Q304" s="634" t="e">
        <f t="shared" si="86"/>
        <v>#DIV/0!</v>
      </c>
      <c r="R304" s="635" t="e">
        <f t="shared" si="119"/>
        <v>#DIV/0!</v>
      </c>
      <c r="S304" s="633" t="e">
        <f t="shared" si="87"/>
        <v>#DIV/0!</v>
      </c>
      <c r="T304" s="632" t="e">
        <f t="shared" si="113"/>
        <v>#DIV/0!</v>
      </c>
      <c r="U304" s="636" t="e">
        <f t="shared" si="89"/>
        <v>#DIV/0!</v>
      </c>
      <c r="V304" s="637" t="e">
        <f t="shared" si="90"/>
        <v>#DIV/0!</v>
      </c>
      <c r="W304" s="633" t="e">
        <f t="shared" si="91"/>
        <v>#DIV/0!</v>
      </c>
      <c r="X304" s="632" t="e">
        <f t="shared" si="114"/>
        <v>#DIV/0!</v>
      </c>
      <c r="Y304" s="634" t="e">
        <f t="shared" si="93"/>
        <v>#DIV/0!</v>
      </c>
      <c r="Z304" s="635" t="e">
        <f t="shared" si="94"/>
        <v>#DIV/0!</v>
      </c>
      <c r="AA304" s="633" t="e">
        <f t="shared" si="95"/>
        <v>#DIV/0!</v>
      </c>
      <c r="AB304" s="632" t="e">
        <f t="shared" si="115"/>
        <v>#DIV/0!</v>
      </c>
      <c r="AC304" s="634" t="e">
        <f t="shared" si="97"/>
        <v>#DIV/0!</v>
      </c>
      <c r="AD304" s="635" t="e">
        <f t="shared" si="98"/>
        <v>#DIV/0!</v>
      </c>
      <c r="AE304" s="633" t="e">
        <f t="shared" si="99"/>
        <v>#DIV/0!</v>
      </c>
      <c r="AF304" s="632" t="e">
        <f t="shared" si="116"/>
        <v>#DIV/0!</v>
      </c>
      <c r="AG304" s="636" t="e">
        <f t="shared" si="101"/>
        <v>#DIV/0!</v>
      </c>
      <c r="AH304" s="637" t="e">
        <f t="shared" si="102"/>
        <v>#DIV/0!</v>
      </c>
      <c r="AI304" s="633" t="e">
        <f t="shared" si="103"/>
        <v>#DIV/0!</v>
      </c>
      <c r="AJ304" s="632" t="e">
        <f t="shared" si="117"/>
        <v>#DIV/0!</v>
      </c>
      <c r="AK304" s="634" t="e">
        <f t="shared" si="105"/>
        <v>#DIV/0!</v>
      </c>
      <c r="AL304" s="635" t="e">
        <f t="shared" si="106"/>
        <v>#DIV/0!</v>
      </c>
      <c r="AM304" s="645" t="e">
        <f t="shared" si="107"/>
        <v>#DIV/0!</v>
      </c>
      <c r="AN304" s="455"/>
    </row>
    <row r="305" spans="1:40" ht="13.8" thickBot="1" x14ac:dyDescent="0.3">
      <c r="A305" s="26"/>
      <c r="B305" s="38"/>
      <c r="C305" s="474"/>
      <c r="D305" s="358"/>
      <c r="E305" s="358"/>
      <c r="F305" s="358"/>
      <c r="G305" s="358"/>
      <c r="H305" s="358"/>
      <c r="I305" s="358"/>
      <c r="J305" s="358"/>
      <c r="K305" s="358"/>
      <c r="L305" s="359"/>
      <c r="M305" s="38"/>
      <c r="N305" s="642" t="str">
        <f t="shared" si="84"/>
        <v/>
      </c>
      <c r="O305" s="646" t="str">
        <f t="shared" si="85"/>
        <v/>
      </c>
      <c r="P305" s="642" t="str">
        <f>IF(G305=0,"",IF(F305=0,"",G305-F305))</f>
        <v/>
      </c>
      <c r="Q305" s="647" t="str">
        <f t="shared" si="86"/>
        <v/>
      </c>
      <c r="R305" s="648" t="str">
        <f>IF(P305="","",P305+N305)</f>
        <v/>
      </c>
      <c r="S305" s="646" t="str">
        <f t="shared" si="87"/>
        <v/>
      </c>
      <c r="T305" s="642" t="str">
        <f>IF(H305=0,"",IF(G305=0,"",H305-G305))</f>
        <v/>
      </c>
      <c r="U305" s="649" t="str">
        <f>IF(T305="","",T305/G305)</f>
        <v/>
      </c>
      <c r="V305" s="650" t="str">
        <f>IF(T305="","",T305+R305)</f>
        <v/>
      </c>
      <c r="W305" s="646" t="str">
        <f>IF(V305="","",V305/E305)</f>
        <v/>
      </c>
      <c r="X305" s="642" t="str">
        <f>IF(I305=0,"",IF(H305=0,"",I305-H305))</f>
        <v/>
      </c>
      <c r="Y305" s="647" t="str">
        <f>IF(X305="","",X305/H305)</f>
        <v/>
      </c>
      <c r="Z305" s="648" t="str">
        <f>IF(X305="","",X305+V305)</f>
        <v/>
      </c>
      <c r="AA305" s="646" t="str">
        <f>IF(Z305="","",Z305/E305)</f>
        <v/>
      </c>
      <c r="AB305" s="642" t="str">
        <f>IF(J305=0,"",IF(I305=0,"",J305-I305))</f>
        <v/>
      </c>
      <c r="AC305" s="647" t="str">
        <f>IF(AB305="","",AB305/I305)</f>
        <v/>
      </c>
      <c r="AD305" s="648" t="str">
        <f>IF(AB305="","",AB305+Z305)</f>
        <v/>
      </c>
      <c r="AE305" s="646" t="str">
        <f>IF(AD305="","",AD305/E305)</f>
        <v/>
      </c>
      <c r="AF305" s="642" t="str">
        <f>IF(K305=0,"",IF(J305=0,"",K305-J305))</f>
        <v/>
      </c>
      <c r="AG305" s="649" t="str">
        <f>IF(AF305="","",AF305/J305)</f>
        <v/>
      </c>
      <c r="AH305" s="650" t="str">
        <f>IF(AF305="","",AF305+AD305)</f>
        <v/>
      </c>
      <c r="AI305" s="646" t="str">
        <f>IF(AH305="","",AH305/E305)</f>
        <v/>
      </c>
      <c r="AJ305" s="642" t="str">
        <f>IF(L305=0,"",IF(K305=0,"",L305-K305))</f>
        <v/>
      </c>
      <c r="AK305" s="647" t="str">
        <f>IF(AJ305="","",AJ305/K305)</f>
        <v/>
      </c>
      <c r="AL305" s="648" t="str">
        <f>IF(AJ305="","",AJ305+AH305)</f>
        <v/>
      </c>
      <c r="AM305" s="651" t="str">
        <f>IF(AL305="","",AL305/E305)</f>
        <v/>
      </c>
      <c r="AN305" s="38"/>
    </row>
    <row r="306" spans="1:40" ht="12" thickTop="1" x14ac:dyDescent="0.2">
      <c r="A306" s="28"/>
      <c r="B306" s="38"/>
      <c r="C306" s="38"/>
      <c r="D306" s="38"/>
      <c r="E306" s="38"/>
      <c r="F306" s="38"/>
      <c r="G306" s="38"/>
      <c r="H306" s="38"/>
      <c r="I306" s="38"/>
      <c r="J306" s="38"/>
      <c r="K306" s="38"/>
      <c r="L306" s="38"/>
      <c r="M306" s="38"/>
      <c r="N306" s="242"/>
      <c r="O306" s="242"/>
      <c r="P306" s="242"/>
      <c r="Q306" s="242"/>
      <c r="R306" s="242"/>
      <c r="S306" s="242"/>
      <c r="T306" s="242"/>
      <c r="U306" s="242"/>
      <c r="V306" s="242"/>
      <c r="W306" s="242"/>
      <c r="X306" s="242"/>
      <c r="Y306" s="242"/>
      <c r="Z306" s="242"/>
      <c r="AA306" s="242"/>
      <c r="AB306" s="242"/>
      <c r="AC306" s="242"/>
      <c r="AD306" s="242"/>
      <c r="AE306" s="242"/>
      <c r="AF306" s="242"/>
      <c r="AG306" s="242"/>
      <c r="AH306" s="242"/>
      <c r="AI306" s="242"/>
      <c r="AJ306" s="242"/>
      <c r="AK306" s="242"/>
      <c r="AL306" s="242"/>
      <c r="AM306" s="242"/>
      <c r="AN306" s="38"/>
    </row>
    <row r="307" spans="1:40" x14ac:dyDescent="0.2">
      <c r="A307" s="25"/>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row>
    <row r="308" spans="1:40" ht="15.6" x14ac:dyDescent="0.3">
      <c r="A308" s="26"/>
      <c r="B308" s="38"/>
      <c r="C308" s="83" t="s">
        <v>46</v>
      </c>
      <c r="D308" s="38"/>
      <c r="E308" s="38"/>
      <c r="F308" s="38"/>
      <c r="G308" s="38"/>
      <c r="H308" s="38"/>
      <c r="I308" s="38"/>
      <c r="J308" s="38"/>
      <c r="K308" s="38"/>
      <c r="L308" s="38"/>
      <c r="M308" s="38"/>
      <c r="N308" s="83"/>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row>
    <row r="309" spans="1:40" x14ac:dyDescent="0.2">
      <c r="A309" s="26"/>
      <c r="B309" s="38"/>
      <c r="C309" s="38" t="s">
        <v>0</v>
      </c>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row>
    <row r="310" spans="1:40" ht="12" thickBot="1" x14ac:dyDescent="0.25">
      <c r="A310" s="26"/>
      <c r="B310" s="38"/>
      <c r="C310" s="38"/>
      <c r="D310" s="38"/>
      <c r="E310" s="38"/>
      <c r="F310" s="38"/>
      <c r="G310" s="38"/>
      <c r="H310" s="38"/>
      <c r="I310" s="38"/>
      <c r="J310" s="38"/>
      <c r="K310" s="38"/>
      <c r="L310" s="38"/>
      <c r="M310" s="38"/>
      <c r="N310" s="244"/>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row>
    <row r="311" spans="1:40" ht="16.8" thickTop="1" thickBot="1" x14ac:dyDescent="0.35">
      <c r="A311" s="26"/>
      <c r="B311" s="38"/>
      <c r="C311" s="38"/>
      <c r="D311" s="38"/>
      <c r="E311" s="38"/>
      <c r="F311" s="807" t="s">
        <v>47</v>
      </c>
      <c r="G311" s="808"/>
      <c r="H311" s="808"/>
      <c r="I311" s="808"/>
      <c r="J311" s="808"/>
      <c r="K311" s="808"/>
      <c r="L311" s="809"/>
      <c r="M311" s="45"/>
      <c r="N311" s="815" t="s">
        <v>595</v>
      </c>
      <c r="O311" s="816"/>
      <c r="P311" s="816"/>
      <c r="Q311" s="816"/>
      <c r="R311" s="816"/>
      <c r="S311" s="816"/>
      <c r="T311" s="816"/>
      <c r="U311" s="816"/>
      <c r="V311" s="816"/>
      <c r="W311" s="816"/>
      <c r="X311" s="816"/>
      <c r="Y311" s="816"/>
      <c r="Z311" s="816"/>
      <c r="AA311" s="816"/>
      <c r="AB311" s="816"/>
      <c r="AC311" s="816"/>
      <c r="AD311" s="816"/>
      <c r="AE311" s="816"/>
      <c r="AF311" s="816"/>
      <c r="AG311" s="816"/>
      <c r="AH311" s="816"/>
      <c r="AI311" s="816"/>
      <c r="AJ311" s="816"/>
      <c r="AK311" s="816"/>
      <c r="AL311" s="816"/>
      <c r="AM311" s="817"/>
      <c r="AN311" s="38"/>
    </row>
    <row r="312" spans="1:40" ht="39" customHeight="1" thickTop="1" x14ac:dyDescent="0.25">
      <c r="A312" s="26"/>
      <c r="B312" s="38"/>
      <c r="C312" s="803" t="s">
        <v>48</v>
      </c>
      <c r="D312" s="804"/>
      <c r="E312" s="608" t="s">
        <v>607</v>
      </c>
      <c r="F312" s="608" t="s">
        <v>49</v>
      </c>
      <c r="G312" s="608" t="s">
        <v>50</v>
      </c>
      <c r="H312" s="608" t="s">
        <v>51</v>
      </c>
      <c r="I312" s="608" t="s">
        <v>52</v>
      </c>
      <c r="J312" s="608" t="s">
        <v>53</v>
      </c>
      <c r="K312" s="608" t="s">
        <v>54</v>
      </c>
      <c r="L312" s="609" t="s">
        <v>55</v>
      </c>
      <c r="M312" s="45"/>
      <c r="N312" s="798" t="s">
        <v>56</v>
      </c>
      <c r="O312" s="800"/>
      <c r="P312" s="798" t="s">
        <v>57</v>
      </c>
      <c r="Q312" s="799"/>
      <c r="R312" s="799"/>
      <c r="S312" s="800"/>
      <c r="T312" s="798" t="s">
        <v>58</v>
      </c>
      <c r="U312" s="799"/>
      <c r="V312" s="799"/>
      <c r="W312" s="800"/>
      <c r="X312" s="795" t="s">
        <v>59</v>
      </c>
      <c r="Y312" s="796"/>
      <c r="Z312" s="796"/>
      <c r="AA312" s="797"/>
      <c r="AB312" s="795" t="s">
        <v>60</v>
      </c>
      <c r="AC312" s="796"/>
      <c r="AD312" s="796"/>
      <c r="AE312" s="797"/>
      <c r="AF312" s="795" t="s">
        <v>61</v>
      </c>
      <c r="AG312" s="796"/>
      <c r="AH312" s="796"/>
      <c r="AI312" s="797"/>
      <c r="AJ312" s="795" t="s">
        <v>62</v>
      </c>
      <c r="AK312" s="796"/>
      <c r="AL312" s="796"/>
      <c r="AM312" s="797"/>
      <c r="AN312" s="38"/>
    </row>
    <row r="313" spans="1:40" ht="13.2" x14ac:dyDescent="0.25">
      <c r="A313" s="26"/>
      <c r="B313" s="38"/>
      <c r="C313" s="610"/>
      <c r="D313" s="87"/>
      <c r="E313" s="629" t="str">
        <f t="shared" ref="E313:L313" si="124">E185</f>
        <v>2017-18</v>
      </c>
      <c r="F313" s="629" t="str">
        <f t="shared" si="124"/>
        <v>2018-19</v>
      </c>
      <c r="G313" s="629" t="str">
        <f t="shared" si="124"/>
        <v>2019-20</v>
      </c>
      <c r="H313" s="629" t="str">
        <f t="shared" si="124"/>
        <v>2020-21</v>
      </c>
      <c r="I313" s="629" t="str">
        <f t="shared" si="124"/>
        <v>2021-22</v>
      </c>
      <c r="J313" s="629" t="str">
        <f t="shared" si="124"/>
        <v>2022-23</v>
      </c>
      <c r="K313" s="629" t="str">
        <f t="shared" si="124"/>
        <v>2023-24</v>
      </c>
      <c r="L313" s="652" t="str">
        <f t="shared" si="124"/>
        <v>2024-25</v>
      </c>
      <c r="M313" s="45"/>
      <c r="N313" s="235" t="s">
        <v>44</v>
      </c>
      <c r="O313" s="232" t="s">
        <v>67</v>
      </c>
      <c r="P313" s="235" t="s">
        <v>44</v>
      </c>
      <c r="Q313" s="231" t="s">
        <v>67</v>
      </c>
      <c r="R313" s="228" t="s">
        <v>45</v>
      </c>
      <c r="S313" s="232" t="s">
        <v>67</v>
      </c>
      <c r="T313" s="235" t="s">
        <v>44</v>
      </c>
      <c r="U313" s="231" t="s">
        <v>67</v>
      </c>
      <c r="V313" s="228" t="s">
        <v>45</v>
      </c>
      <c r="W313" s="232" t="s">
        <v>67</v>
      </c>
      <c r="X313" s="235" t="s">
        <v>44</v>
      </c>
      <c r="Y313" s="228" t="s">
        <v>67</v>
      </c>
      <c r="Z313" s="229" t="s">
        <v>45</v>
      </c>
      <c r="AA313" s="232" t="s">
        <v>67</v>
      </c>
      <c r="AB313" s="235" t="s">
        <v>44</v>
      </c>
      <c r="AC313" s="231" t="s">
        <v>67</v>
      </c>
      <c r="AD313" s="228" t="s">
        <v>45</v>
      </c>
      <c r="AE313" s="232" t="s">
        <v>67</v>
      </c>
      <c r="AF313" s="235" t="s">
        <v>44</v>
      </c>
      <c r="AG313" s="228" t="s">
        <v>67</v>
      </c>
      <c r="AH313" s="229" t="s">
        <v>45</v>
      </c>
      <c r="AI313" s="232" t="s">
        <v>67</v>
      </c>
      <c r="AJ313" s="235" t="s">
        <v>44</v>
      </c>
      <c r="AK313" s="231" t="s">
        <v>67</v>
      </c>
      <c r="AL313" s="228" t="s">
        <v>45</v>
      </c>
      <c r="AM313" s="232" t="s">
        <v>67</v>
      </c>
      <c r="AN313" s="38"/>
    </row>
    <row r="314" spans="1:40" ht="13.2" x14ac:dyDescent="0.25">
      <c r="A314" s="123"/>
      <c r="B314" s="38"/>
      <c r="C314" s="801" t="s">
        <v>786</v>
      </c>
      <c r="D314" s="802"/>
      <c r="E314" s="357">
        <v>297.7</v>
      </c>
      <c r="F314" s="357">
        <f>E314*1.023</f>
        <v>304.54709999999994</v>
      </c>
      <c r="G314" s="357">
        <f>F314*1.025</f>
        <v>312.16077749999994</v>
      </c>
      <c r="H314" s="357">
        <f>G314*1.025</f>
        <v>319.9647969374999</v>
      </c>
      <c r="I314" s="357">
        <f>H314*1.025</f>
        <v>327.96391686093739</v>
      </c>
      <c r="J314" s="357">
        <f>I314*1.025</f>
        <v>336.16301478246078</v>
      </c>
      <c r="K314" s="357"/>
      <c r="L314" s="611"/>
      <c r="M314" s="45"/>
      <c r="N314" s="632">
        <f t="shared" ref="N314:N339" si="125">IF(F314=0,"",IF(E314=0,"",F314-E314))</f>
        <v>6.8470999999999549</v>
      </c>
      <c r="O314" s="633">
        <f t="shared" ref="O314:O339" si="126">IF(N314="","",N314/E314)</f>
        <v>2.299999999999985E-2</v>
      </c>
      <c r="P314" s="632">
        <f>IF(G314=0,"",IF(F314=0,"",G314-F314))</f>
        <v>7.6136774999999943</v>
      </c>
      <c r="Q314" s="634">
        <f t="shared" ref="Q314:Q339" si="127">IF(P314="","",P314/F314)</f>
        <v>2.4999999999999988E-2</v>
      </c>
      <c r="R314" s="635">
        <f>IF(P314="","",P314+N314)</f>
        <v>14.460777499999949</v>
      </c>
      <c r="S314" s="633">
        <f t="shared" ref="S314:S339" si="128">IF(R314="","",R314/E314)</f>
        <v>4.8574999999999834E-2</v>
      </c>
      <c r="T314" s="632">
        <f>IF(H314=0,"",IF(G314=0,"",H314-G314))</f>
        <v>7.8040194374999601</v>
      </c>
      <c r="U314" s="634">
        <f t="shared" ref="U314:U339" si="129">IF(T314="","",T314/G314)</f>
        <v>2.4999999999999876E-2</v>
      </c>
      <c r="V314" s="635">
        <f>IF(T314="","",T314+R314)</f>
        <v>22.264796937499909</v>
      </c>
      <c r="W314" s="633">
        <f t="shared" ref="W314:W339" si="130">IF(V314="","",V314/E314)</f>
        <v>7.47893749999997E-2</v>
      </c>
      <c r="X314" s="632">
        <f>IF(I314=0,"",IF(H314=0,"",I314-H314))</f>
        <v>7.9991199234374903</v>
      </c>
      <c r="Y314" s="636">
        <f t="shared" ref="Y314:Y339" si="131">IF(X314="","",X314/H314)</f>
        <v>2.4999999999999977E-2</v>
      </c>
      <c r="Z314" s="637">
        <f>IF(X314="","",X314+V314)</f>
        <v>30.2639168609374</v>
      </c>
      <c r="AA314" s="633">
        <f t="shared" ref="AA314:AA339" si="132">IF(Z314="","",Z314/E314)</f>
        <v>0.10165910937499967</v>
      </c>
      <c r="AB314" s="632">
        <f>IF(J314=0,"",IF(I314=0,"",J314-I314))</f>
        <v>8.1990979215233892</v>
      </c>
      <c r="AC314" s="634">
        <f t="shared" ref="AC314:AC339" si="133">IF(AB314="","",AB314/I314)</f>
        <v>2.4999999999999863E-2</v>
      </c>
      <c r="AD314" s="635">
        <f t="shared" ref="AD314:AD339" si="134">IF(AB314="","",AB314+Z314)</f>
        <v>38.463014782460789</v>
      </c>
      <c r="AE314" s="633">
        <f t="shared" ref="AE314:AE339" si="135">IF(AD314="","",AD314/E314)</f>
        <v>0.12920058710937452</v>
      </c>
      <c r="AF314" s="632" t="str">
        <f>IF(K314=0,"",IF(J314=0,"",K314-J314))</f>
        <v/>
      </c>
      <c r="AG314" s="636" t="str">
        <f t="shared" ref="AG314:AG339" si="136">IF(AF314="","",AF314/J314)</f>
        <v/>
      </c>
      <c r="AH314" s="637" t="str">
        <f>IF(AF314="","",AF314+AD314)</f>
        <v/>
      </c>
      <c r="AI314" s="633" t="str">
        <f t="shared" ref="AI314:AI339" si="137">IF(AH314="","",AH314/E314)</f>
        <v/>
      </c>
      <c r="AJ314" s="632" t="str">
        <f>IF(L314=0,"",IF(K314=0,"",L314-K314))</f>
        <v/>
      </c>
      <c r="AK314" s="634" t="str">
        <f t="shared" ref="AK314:AK339" si="138">IF(AJ314="","",AJ314/K314)</f>
        <v/>
      </c>
      <c r="AL314" s="635" t="str">
        <f>IF(AJ314="","",AJ314+AH314)</f>
        <v/>
      </c>
      <c r="AM314" s="633" t="str">
        <f t="shared" ref="AM314:AM339" si="139">IF(AL314="","",AL314/E314)</f>
        <v/>
      </c>
      <c r="AN314" s="38"/>
    </row>
    <row r="315" spans="1:40" ht="13.2" x14ac:dyDescent="0.25">
      <c r="A315" s="123"/>
      <c r="B315" s="38"/>
      <c r="C315" s="801"/>
      <c r="D315" s="802"/>
      <c r="E315" s="357"/>
      <c r="F315" s="357"/>
      <c r="G315" s="357"/>
      <c r="H315" s="357"/>
      <c r="I315" s="357"/>
      <c r="J315" s="357"/>
      <c r="K315" s="357"/>
      <c r="L315" s="611"/>
      <c r="M315" s="45"/>
      <c r="N315" s="632" t="str">
        <f t="shared" si="125"/>
        <v/>
      </c>
      <c r="O315" s="633" t="str">
        <f t="shared" si="126"/>
        <v/>
      </c>
      <c r="P315" s="632" t="str">
        <f>IF(G315=0,"",IF(F315=0,"",G315-F315))</f>
        <v/>
      </c>
      <c r="Q315" s="634" t="str">
        <f t="shared" si="127"/>
        <v/>
      </c>
      <c r="R315" s="635" t="str">
        <f>IF(P315="","",P315+N315)</f>
        <v/>
      </c>
      <c r="S315" s="633" t="str">
        <f t="shared" si="128"/>
        <v/>
      </c>
      <c r="T315" s="632" t="str">
        <f>IF(H315=0,"",IF(G315=0,"",H315-G315))</f>
        <v/>
      </c>
      <c r="U315" s="634" t="str">
        <f t="shared" si="129"/>
        <v/>
      </c>
      <c r="V315" s="635" t="str">
        <f>IF(T315="","",T315+R315)</f>
        <v/>
      </c>
      <c r="W315" s="633" t="str">
        <f t="shared" si="130"/>
        <v/>
      </c>
      <c r="X315" s="632" t="str">
        <f>IF(I315=0,"",IF(H315=0,"",I315-H315))</f>
        <v/>
      </c>
      <c r="Y315" s="636" t="str">
        <f t="shared" si="131"/>
        <v/>
      </c>
      <c r="Z315" s="637" t="str">
        <f>IF(X315="","",X315+V315)</f>
        <v/>
      </c>
      <c r="AA315" s="633" t="str">
        <f t="shared" si="132"/>
        <v/>
      </c>
      <c r="AB315" s="632" t="str">
        <f>IF(J315=0,"",IF(I315=0,"",J315-I315))</f>
        <v/>
      </c>
      <c r="AC315" s="634" t="str">
        <f t="shared" si="133"/>
        <v/>
      </c>
      <c r="AD315" s="635" t="str">
        <f t="shared" si="134"/>
        <v/>
      </c>
      <c r="AE315" s="633" t="str">
        <f t="shared" si="135"/>
        <v/>
      </c>
      <c r="AF315" s="632" t="str">
        <f>IF(K315=0,"",IF(J315=0,"",K315-J315))</f>
        <v/>
      </c>
      <c r="AG315" s="636" t="str">
        <f t="shared" si="136"/>
        <v/>
      </c>
      <c r="AH315" s="637" t="str">
        <f>IF(AF315="","",AF315+AD315)</f>
        <v/>
      </c>
      <c r="AI315" s="633" t="str">
        <f t="shared" si="137"/>
        <v/>
      </c>
      <c r="AJ315" s="632" t="str">
        <f>IF(L315=0,"",IF(K315=0,"",L315-K315))</f>
        <v/>
      </c>
      <c r="AK315" s="634" t="str">
        <f t="shared" si="138"/>
        <v/>
      </c>
      <c r="AL315" s="635" t="str">
        <f>IF(AJ315="","",AJ315+AH315)</f>
        <v/>
      </c>
      <c r="AM315" s="633" t="str">
        <f t="shared" si="139"/>
        <v/>
      </c>
      <c r="AN315" s="38"/>
    </row>
    <row r="316" spans="1:40" ht="13.2" x14ac:dyDescent="0.25">
      <c r="A316" s="123"/>
      <c r="B316" s="38"/>
      <c r="C316" s="801"/>
      <c r="D316" s="802"/>
      <c r="E316" s="357"/>
      <c r="F316" s="357"/>
      <c r="G316" s="357"/>
      <c r="H316" s="357"/>
      <c r="I316" s="357"/>
      <c r="J316" s="357"/>
      <c r="K316" s="357"/>
      <c r="L316" s="611"/>
      <c r="M316" s="45"/>
      <c r="N316" s="632" t="str">
        <f t="shared" si="125"/>
        <v/>
      </c>
      <c r="O316" s="633" t="str">
        <f t="shared" si="126"/>
        <v/>
      </c>
      <c r="P316" s="632" t="str">
        <f t="shared" ref="P316:P339" si="140">IF(G316=0,"",IF(F316=0,"",G316-F316))</f>
        <v/>
      </c>
      <c r="Q316" s="634" t="str">
        <f t="shared" si="127"/>
        <v/>
      </c>
      <c r="R316" s="635" t="str">
        <f t="shared" ref="R316:R339" si="141">IF(P316="","",P316+N316)</f>
        <v/>
      </c>
      <c r="S316" s="633" t="str">
        <f t="shared" si="128"/>
        <v/>
      </c>
      <c r="T316" s="632" t="str">
        <f t="shared" ref="T316:T339" si="142">IF(H316=0,"",IF(G316=0,"",H316-G316))</f>
        <v/>
      </c>
      <c r="U316" s="634" t="str">
        <f t="shared" si="129"/>
        <v/>
      </c>
      <c r="V316" s="635" t="str">
        <f t="shared" ref="V316:V339" si="143">IF(T316="","",T316+R316)</f>
        <v/>
      </c>
      <c r="W316" s="633" t="str">
        <f t="shared" si="130"/>
        <v/>
      </c>
      <c r="X316" s="632" t="str">
        <f t="shared" ref="X316:X339" si="144">IF(I316=0,"",IF(H316=0,"",I316-H316))</f>
        <v/>
      </c>
      <c r="Y316" s="636" t="str">
        <f t="shared" si="131"/>
        <v/>
      </c>
      <c r="Z316" s="637" t="str">
        <f t="shared" ref="Z316:Z339" si="145">IF(X316="","",X316+V316)</f>
        <v/>
      </c>
      <c r="AA316" s="633" t="str">
        <f t="shared" si="132"/>
        <v/>
      </c>
      <c r="AB316" s="632" t="str">
        <f t="shared" ref="AB316:AB339" si="146">IF(J316=0,"",IF(I316=0,"",J316-I316))</f>
        <v/>
      </c>
      <c r="AC316" s="634" t="str">
        <f t="shared" si="133"/>
        <v/>
      </c>
      <c r="AD316" s="635" t="str">
        <f t="shared" si="134"/>
        <v/>
      </c>
      <c r="AE316" s="633" t="str">
        <f t="shared" si="135"/>
        <v/>
      </c>
      <c r="AF316" s="632" t="str">
        <f t="shared" ref="AF316:AF339" si="147">IF(K316=0,"",IF(J316=0,"",K316-J316))</f>
        <v/>
      </c>
      <c r="AG316" s="636" t="str">
        <f t="shared" si="136"/>
        <v/>
      </c>
      <c r="AH316" s="637" t="str">
        <f t="shared" ref="AH316:AH339" si="148">IF(AF316="","",AF316+AD316)</f>
        <v/>
      </c>
      <c r="AI316" s="633" t="str">
        <f t="shared" si="137"/>
        <v/>
      </c>
      <c r="AJ316" s="632" t="str">
        <f t="shared" ref="AJ316:AJ339" si="149">IF(L316=0,"",IF(K316=0,"",L316-K316))</f>
        <v/>
      </c>
      <c r="AK316" s="634" t="str">
        <f t="shared" si="138"/>
        <v/>
      </c>
      <c r="AL316" s="635" t="str">
        <f t="shared" ref="AL316:AL339" si="150">IF(AJ316="","",AJ316+AH316)</f>
        <v/>
      </c>
      <c r="AM316" s="633" t="str">
        <f t="shared" si="139"/>
        <v/>
      </c>
      <c r="AN316" s="38"/>
    </row>
    <row r="317" spans="1:40" ht="13.2" x14ac:dyDescent="0.25">
      <c r="A317" s="123"/>
      <c r="B317" s="38"/>
      <c r="C317" s="801"/>
      <c r="D317" s="802"/>
      <c r="E317" s="357"/>
      <c r="F317" s="357"/>
      <c r="G317" s="357"/>
      <c r="H317" s="357"/>
      <c r="I317" s="357"/>
      <c r="J317" s="357"/>
      <c r="K317" s="357"/>
      <c r="L317" s="611"/>
      <c r="M317" s="45"/>
      <c r="N317" s="632" t="str">
        <f t="shared" si="125"/>
        <v/>
      </c>
      <c r="O317" s="633" t="str">
        <f t="shared" si="126"/>
        <v/>
      </c>
      <c r="P317" s="632" t="str">
        <f t="shared" si="140"/>
        <v/>
      </c>
      <c r="Q317" s="634" t="str">
        <f t="shared" si="127"/>
        <v/>
      </c>
      <c r="R317" s="635" t="str">
        <f t="shared" si="141"/>
        <v/>
      </c>
      <c r="S317" s="633" t="str">
        <f t="shared" si="128"/>
        <v/>
      </c>
      <c r="T317" s="632" t="str">
        <f t="shared" si="142"/>
        <v/>
      </c>
      <c r="U317" s="634" t="str">
        <f t="shared" si="129"/>
        <v/>
      </c>
      <c r="V317" s="635" t="str">
        <f t="shared" si="143"/>
        <v/>
      </c>
      <c r="W317" s="633" t="str">
        <f t="shared" si="130"/>
        <v/>
      </c>
      <c r="X317" s="632" t="str">
        <f t="shared" si="144"/>
        <v/>
      </c>
      <c r="Y317" s="636" t="str">
        <f t="shared" si="131"/>
        <v/>
      </c>
      <c r="Z317" s="637" t="str">
        <f t="shared" si="145"/>
        <v/>
      </c>
      <c r="AA317" s="633" t="str">
        <f t="shared" si="132"/>
        <v/>
      </c>
      <c r="AB317" s="632" t="str">
        <f t="shared" si="146"/>
        <v/>
      </c>
      <c r="AC317" s="634" t="str">
        <f t="shared" si="133"/>
        <v/>
      </c>
      <c r="AD317" s="635" t="str">
        <f t="shared" si="134"/>
        <v/>
      </c>
      <c r="AE317" s="633" t="str">
        <f t="shared" si="135"/>
        <v/>
      </c>
      <c r="AF317" s="632" t="str">
        <f t="shared" si="147"/>
        <v/>
      </c>
      <c r="AG317" s="636" t="str">
        <f t="shared" si="136"/>
        <v/>
      </c>
      <c r="AH317" s="637" t="str">
        <f t="shared" si="148"/>
        <v/>
      </c>
      <c r="AI317" s="633" t="str">
        <f t="shared" si="137"/>
        <v/>
      </c>
      <c r="AJ317" s="632" t="str">
        <f t="shared" si="149"/>
        <v/>
      </c>
      <c r="AK317" s="634" t="str">
        <f t="shared" si="138"/>
        <v/>
      </c>
      <c r="AL317" s="635" t="str">
        <f t="shared" si="150"/>
        <v/>
      </c>
      <c r="AM317" s="633" t="str">
        <f t="shared" si="139"/>
        <v/>
      </c>
      <c r="AN317" s="38"/>
    </row>
    <row r="318" spans="1:40" ht="13.2" x14ac:dyDescent="0.25">
      <c r="A318" s="123"/>
      <c r="B318" s="38"/>
      <c r="C318" s="801"/>
      <c r="D318" s="802"/>
      <c r="E318" s="357"/>
      <c r="F318" s="357"/>
      <c r="G318" s="357"/>
      <c r="H318" s="357"/>
      <c r="I318" s="357"/>
      <c r="J318" s="357"/>
      <c r="K318" s="357"/>
      <c r="L318" s="611"/>
      <c r="M318" s="45"/>
      <c r="N318" s="632" t="str">
        <f t="shared" si="125"/>
        <v/>
      </c>
      <c r="O318" s="633" t="str">
        <f t="shared" si="126"/>
        <v/>
      </c>
      <c r="P318" s="632" t="str">
        <f t="shared" si="140"/>
        <v/>
      </c>
      <c r="Q318" s="634" t="str">
        <f t="shared" si="127"/>
        <v/>
      </c>
      <c r="R318" s="635" t="str">
        <f t="shared" si="141"/>
        <v/>
      </c>
      <c r="S318" s="633" t="str">
        <f t="shared" si="128"/>
        <v/>
      </c>
      <c r="T318" s="632" t="str">
        <f t="shared" si="142"/>
        <v/>
      </c>
      <c r="U318" s="634" t="str">
        <f t="shared" si="129"/>
        <v/>
      </c>
      <c r="V318" s="635" t="str">
        <f t="shared" si="143"/>
        <v/>
      </c>
      <c r="W318" s="633" t="str">
        <f t="shared" si="130"/>
        <v/>
      </c>
      <c r="X318" s="632" t="str">
        <f t="shared" si="144"/>
        <v/>
      </c>
      <c r="Y318" s="636" t="str">
        <f t="shared" si="131"/>
        <v/>
      </c>
      <c r="Z318" s="637" t="str">
        <f t="shared" si="145"/>
        <v/>
      </c>
      <c r="AA318" s="633" t="str">
        <f t="shared" si="132"/>
        <v/>
      </c>
      <c r="AB318" s="632" t="str">
        <f t="shared" si="146"/>
        <v/>
      </c>
      <c r="AC318" s="634" t="str">
        <f t="shared" si="133"/>
        <v/>
      </c>
      <c r="AD318" s="635" t="str">
        <f t="shared" si="134"/>
        <v/>
      </c>
      <c r="AE318" s="633" t="str">
        <f t="shared" si="135"/>
        <v/>
      </c>
      <c r="AF318" s="632" t="str">
        <f t="shared" si="147"/>
        <v/>
      </c>
      <c r="AG318" s="636" t="str">
        <f t="shared" si="136"/>
        <v/>
      </c>
      <c r="AH318" s="637" t="str">
        <f t="shared" si="148"/>
        <v/>
      </c>
      <c r="AI318" s="633" t="str">
        <f t="shared" si="137"/>
        <v/>
      </c>
      <c r="AJ318" s="632" t="str">
        <f t="shared" si="149"/>
        <v/>
      </c>
      <c r="AK318" s="634" t="str">
        <f t="shared" si="138"/>
        <v/>
      </c>
      <c r="AL318" s="635" t="str">
        <f t="shared" si="150"/>
        <v/>
      </c>
      <c r="AM318" s="633" t="str">
        <f t="shared" si="139"/>
        <v/>
      </c>
      <c r="AN318" s="38"/>
    </row>
    <row r="319" spans="1:40" ht="13.2" x14ac:dyDescent="0.25">
      <c r="A319" s="123"/>
      <c r="B319" s="38"/>
      <c r="C319" s="801"/>
      <c r="D319" s="802"/>
      <c r="E319" s="357"/>
      <c r="F319" s="357"/>
      <c r="G319" s="357"/>
      <c r="H319" s="357"/>
      <c r="I319" s="357"/>
      <c r="J319" s="357"/>
      <c r="K319" s="357"/>
      <c r="L319" s="611"/>
      <c r="M319" s="45"/>
      <c r="N319" s="632" t="str">
        <f t="shared" si="125"/>
        <v/>
      </c>
      <c r="O319" s="633" t="str">
        <f t="shared" si="126"/>
        <v/>
      </c>
      <c r="P319" s="632" t="str">
        <f t="shared" si="140"/>
        <v/>
      </c>
      <c r="Q319" s="634" t="str">
        <f t="shared" si="127"/>
        <v/>
      </c>
      <c r="R319" s="635" t="str">
        <f t="shared" si="141"/>
        <v/>
      </c>
      <c r="S319" s="633" t="str">
        <f t="shared" si="128"/>
        <v/>
      </c>
      <c r="T319" s="632" t="str">
        <f t="shared" si="142"/>
        <v/>
      </c>
      <c r="U319" s="634" t="str">
        <f t="shared" si="129"/>
        <v/>
      </c>
      <c r="V319" s="635" t="str">
        <f t="shared" si="143"/>
        <v/>
      </c>
      <c r="W319" s="633" t="str">
        <f t="shared" si="130"/>
        <v/>
      </c>
      <c r="X319" s="632" t="str">
        <f t="shared" si="144"/>
        <v/>
      </c>
      <c r="Y319" s="636" t="str">
        <f t="shared" si="131"/>
        <v/>
      </c>
      <c r="Z319" s="637" t="str">
        <f t="shared" si="145"/>
        <v/>
      </c>
      <c r="AA319" s="633" t="str">
        <f t="shared" si="132"/>
        <v/>
      </c>
      <c r="AB319" s="632" t="str">
        <f t="shared" si="146"/>
        <v/>
      </c>
      <c r="AC319" s="634" t="str">
        <f t="shared" si="133"/>
        <v/>
      </c>
      <c r="AD319" s="635" t="str">
        <f t="shared" si="134"/>
        <v/>
      </c>
      <c r="AE319" s="633" t="str">
        <f t="shared" si="135"/>
        <v/>
      </c>
      <c r="AF319" s="632" t="str">
        <f t="shared" si="147"/>
        <v/>
      </c>
      <c r="AG319" s="636" t="str">
        <f t="shared" si="136"/>
        <v/>
      </c>
      <c r="AH319" s="637" t="str">
        <f t="shared" si="148"/>
        <v/>
      </c>
      <c r="AI319" s="633" t="str">
        <f t="shared" si="137"/>
        <v/>
      </c>
      <c r="AJ319" s="632" t="str">
        <f t="shared" si="149"/>
        <v/>
      </c>
      <c r="AK319" s="634" t="str">
        <f t="shared" si="138"/>
        <v/>
      </c>
      <c r="AL319" s="635" t="str">
        <f t="shared" si="150"/>
        <v/>
      </c>
      <c r="AM319" s="633" t="str">
        <f t="shared" si="139"/>
        <v/>
      </c>
      <c r="AN319" s="38"/>
    </row>
    <row r="320" spans="1:40" ht="13.2" x14ac:dyDescent="0.25">
      <c r="A320" s="123"/>
      <c r="B320" s="38"/>
      <c r="C320" s="801"/>
      <c r="D320" s="802"/>
      <c r="E320" s="357"/>
      <c r="F320" s="357"/>
      <c r="G320" s="357"/>
      <c r="H320" s="357"/>
      <c r="I320" s="357"/>
      <c r="J320" s="357"/>
      <c r="K320" s="357"/>
      <c r="L320" s="611"/>
      <c r="M320" s="45"/>
      <c r="N320" s="632" t="str">
        <f t="shared" si="125"/>
        <v/>
      </c>
      <c r="O320" s="633" t="str">
        <f t="shared" si="126"/>
        <v/>
      </c>
      <c r="P320" s="632" t="str">
        <f t="shared" si="140"/>
        <v/>
      </c>
      <c r="Q320" s="634" t="str">
        <f t="shared" si="127"/>
        <v/>
      </c>
      <c r="R320" s="635" t="str">
        <f t="shared" si="141"/>
        <v/>
      </c>
      <c r="S320" s="633" t="str">
        <f t="shared" si="128"/>
        <v/>
      </c>
      <c r="T320" s="632" t="str">
        <f t="shared" si="142"/>
        <v/>
      </c>
      <c r="U320" s="634" t="str">
        <f t="shared" si="129"/>
        <v/>
      </c>
      <c r="V320" s="635" t="str">
        <f t="shared" si="143"/>
        <v/>
      </c>
      <c r="W320" s="633" t="str">
        <f t="shared" si="130"/>
        <v/>
      </c>
      <c r="X320" s="632" t="str">
        <f t="shared" si="144"/>
        <v/>
      </c>
      <c r="Y320" s="636" t="str">
        <f t="shared" si="131"/>
        <v/>
      </c>
      <c r="Z320" s="637" t="str">
        <f t="shared" si="145"/>
        <v/>
      </c>
      <c r="AA320" s="633" t="str">
        <f t="shared" si="132"/>
        <v/>
      </c>
      <c r="AB320" s="632" t="str">
        <f t="shared" si="146"/>
        <v/>
      </c>
      <c r="AC320" s="634" t="str">
        <f t="shared" si="133"/>
        <v/>
      </c>
      <c r="AD320" s="635" t="str">
        <f t="shared" si="134"/>
        <v/>
      </c>
      <c r="AE320" s="633" t="str">
        <f t="shared" si="135"/>
        <v/>
      </c>
      <c r="AF320" s="632" t="str">
        <f t="shared" si="147"/>
        <v/>
      </c>
      <c r="AG320" s="636" t="str">
        <f t="shared" si="136"/>
        <v/>
      </c>
      <c r="AH320" s="637" t="str">
        <f t="shared" si="148"/>
        <v/>
      </c>
      <c r="AI320" s="633" t="str">
        <f t="shared" si="137"/>
        <v/>
      </c>
      <c r="AJ320" s="632" t="str">
        <f t="shared" si="149"/>
        <v/>
      </c>
      <c r="AK320" s="634" t="str">
        <f t="shared" si="138"/>
        <v/>
      </c>
      <c r="AL320" s="635" t="str">
        <f t="shared" si="150"/>
        <v/>
      </c>
      <c r="AM320" s="633" t="str">
        <f t="shared" si="139"/>
        <v/>
      </c>
      <c r="AN320" s="38"/>
    </row>
    <row r="321" spans="1:40" ht="13.2" x14ac:dyDescent="0.25">
      <c r="A321" s="123"/>
      <c r="B321" s="38"/>
      <c r="C321" s="801"/>
      <c r="D321" s="802"/>
      <c r="E321" s="357"/>
      <c r="F321" s="357"/>
      <c r="G321" s="357"/>
      <c r="H321" s="357"/>
      <c r="I321" s="357"/>
      <c r="J321" s="357"/>
      <c r="K321" s="357"/>
      <c r="L321" s="611"/>
      <c r="M321" s="45"/>
      <c r="N321" s="632" t="str">
        <f t="shared" si="125"/>
        <v/>
      </c>
      <c r="O321" s="633" t="str">
        <f t="shared" si="126"/>
        <v/>
      </c>
      <c r="P321" s="632" t="str">
        <f t="shared" si="140"/>
        <v/>
      </c>
      <c r="Q321" s="634" t="str">
        <f t="shared" si="127"/>
        <v/>
      </c>
      <c r="R321" s="635" t="str">
        <f t="shared" si="141"/>
        <v/>
      </c>
      <c r="S321" s="633" t="str">
        <f t="shared" si="128"/>
        <v/>
      </c>
      <c r="T321" s="632" t="str">
        <f t="shared" si="142"/>
        <v/>
      </c>
      <c r="U321" s="634" t="str">
        <f t="shared" si="129"/>
        <v/>
      </c>
      <c r="V321" s="635" t="str">
        <f t="shared" si="143"/>
        <v/>
      </c>
      <c r="W321" s="633" t="str">
        <f t="shared" si="130"/>
        <v/>
      </c>
      <c r="X321" s="632" t="str">
        <f t="shared" si="144"/>
        <v/>
      </c>
      <c r="Y321" s="636" t="str">
        <f t="shared" si="131"/>
        <v/>
      </c>
      <c r="Z321" s="637" t="str">
        <f t="shared" si="145"/>
        <v/>
      </c>
      <c r="AA321" s="633" t="str">
        <f t="shared" si="132"/>
        <v/>
      </c>
      <c r="AB321" s="632" t="str">
        <f t="shared" si="146"/>
        <v/>
      </c>
      <c r="AC321" s="634" t="str">
        <f t="shared" si="133"/>
        <v/>
      </c>
      <c r="AD321" s="635" t="str">
        <f t="shared" si="134"/>
        <v/>
      </c>
      <c r="AE321" s="633" t="str">
        <f t="shared" si="135"/>
        <v/>
      </c>
      <c r="AF321" s="632" t="str">
        <f t="shared" si="147"/>
        <v/>
      </c>
      <c r="AG321" s="636" t="str">
        <f t="shared" si="136"/>
        <v/>
      </c>
      <c r="AH321" s="637" t="str">
        <f t="shared" si="148"/>
        <v/>
      </c>
      <c r="AI321" s="633" t="str">
        <f t="shared" si="137"/>
        <v/>
      </c>
      <c r="AJ321" s="632" t="str">
        <f t="shared" si="149"/>
        <v/>
      </c>
      <c r="AK321" s="634" t="str">
        <f t="shared" si="138"/>
        <v/>
      </c>
      <c r="AL321" s="635" t="str">
        <f t="shared" si="150"/>
        <v/>
      </c>
      <c r="AM321" s="633" t="str">
        <f t="shared" si="139"/>
        <v/>
      </c>
      <c r="AN321" s="38"/>
    </row>
    <row r="322" spans="1:40" ht="13.2" x14ac:dyDescent="0.25">
      <c r="A322" s="123"/>
      <c r="B322" s="38"/>
      <c r="C322" s="801"/>
      <c r="D322" s="802"/>
      <c r="E322" s="357"/>
      <c r="F322" s="357"/>
      <c r="G322" s="357"/>
      <c r="H322" s="357"/>
      <c r="I322" s="357"/>
      <c r="J322" s="357"/>
      <c r="K322" s="357"/>
      <c r="L322" s="611"/>
      <c r="M322" s="45"/>
      <c r="N322" s="632" t="str">
        <f t="shared" si="125"/>
        <v/>
      </c>
      <c r="O322" s="633" t="str">
        <f t="shared" si="126"/>
        <v/>
      </c>
      <c r="P322" s="632" t="str">
        <f t="shared" si="140"/>
        <v/>
      </c>
      <c r="Q322" s="634" t="str">
        <f t="shared" si="127"/>
        <v/>
      </c>
      <c r="R322" s="635" t="str">
        <f t="shared" si="141"/>
        <v/>
      </c>
      <c r="S322" s="633" t="str">
        <f t="shared" si="128"/>
        <v/>
      </c>
      <c r="T322" s="632" t="str">
        <f t="shared" si="142"/>
        <v/>
      </c>
      <c r="U322" s="634" t="str">
        <f t="shared" si="129"/>
        <v/>
      </c>
      <c r="V322" s="635" t="str">
        <f t="shared" si="143"/>
        <v/>
      </c>
      <c r="W322" s="633" t="str">
        <f t="shared" si="130"/>
        <v/>
      </c>
      <c r="X322" s="632" t="str">
        <f t="shared" si="144"/>
        <v/>
      </c>
      <c r="Y322" s="636" t="str">
        <f t="shared" si="131"/>
        <v/>
      </c>
      <c r="Z322" s="637" t="str">
        <f t="shared" si="145"/>
        <v/>
      </c>
      <c r="AA322" s="633" t="str">
        <f t="shared" si="132"/>
        <v/>
      </c>
      <c r="AB322" s="632" t="str">
        <f t="shared" si="146"/>
        <v/>
      </c>
      <c r="AC322" s="634" t="str">
        <f t="shared" si="133"/>
        <v/>
      </c>
      <c r="AD322" s="635" t="str">
        <f t="shared" si="134"/>
        <v/>
      </c>
      <c r="AE322" s="633" t="str">
        <f t="shared" si="135"/>
        <v/>
      </c>
      <c r="AF322" s="632" t="str">
        <f t="shared" si="147"/>
        <v/>
      </c>
      <c r="AG322" s="636" t="str">
        <f t="shared" si="136"/>
        <v/>
      </c>
      <c r="AH322" s="637" t="str">
        <f t="shared" si="148"/>
        <v/>
      </c>
      <c r="AI322" s="633" t="str">
        <f t="shared" si="137"/>
        <v/>
      </c>
      <c r="AJ322" s="632" t="str">
        <f t="shared" si="149"/>
        <v/>
      </c>
      <c r="AK322" s="634" t="str">
        <f t="shared" si="138"/>
        <v/>
      </c>
      <c r="AL322" s="635" t="str">
        <f t="shared" si="150"/>
        <v/>
      </c>
      <c r="AM322" s="633" t="str">
        <f t="shared" si="139"/>
        <v/>
      </c>
      <c r="AN322" s="38"/>
    </row>
    <row r="323" spans="1:40" ht="13.2" x14ac:dyDescent="0.25">
      <c r="A323" s="123"/>
      <c r="B323" s="38"/>
      <c r="C323" s="801"/>
      <c r="D323" s="802"/>
      <c r="E323" s="357"/>
      <c r="F323" s="357"/>
      <c r="G323" s="357"/>
      <c r="H323" s="357"/>
      <c r="I323" s="357"/>
      <c r="J323" s="357"/>
      <c r="K323" s="357"/>
      <c r="L323" s="611"/>
      <c r="M323" s="45"/>
      <c r="N323" s="632" t="str">
        <f t="shared" si="125"/>
        <v/>
      </c>
      <c r="O323" s="633" t="str">
        <f t="shared" si="126"/>
        <v/>
      </c>
      <c r="P323" s="632" t="str">
        <f t="shared" si="140"/>
        <v/>
      </c>
      <c r="Q323" s="634" t="str">
        <f t="shared" si="127"/>
        <v/>
      </c>
      <c r="R323" s="635" t="str">
        <f t="shared" si="141"/>
        <v/>
      </c>
      <c r="S323" s="633" t="str">
        <f t="shared" si="128"/>
        <v/>
      </c>
      <c r="T323" s="632" t="str">
        <f t="shared" si="142"/>
        <v/>
      </c>
      <c r="U323" s="634" t="str">
        <f t="shared" si="129"/>
        <v/>
      </c>
      <c r="V323" s="635" t="str">
        <f t="shared" si="143"/>
        <v/>
      </c>
      <c r="W323" s="633" t="str">
        <f t="shared" si="130"/>
        <v/>
      </c>
      <c r="X323" s="632" t="str">
        <f t="shared" si="144"/>
        <v/>
      </c>
      <c r="Y323" s="636" t="str">
        <f t="shared" si="131"/>
        <v/>
      </c>
      <c r="Z323" s="637" t="str">
        <f t="shared" si="145"/>
        <v/>
      </c>
      <c r="AA323" s="633" t="str">
        <f t="shared" si="132"/>
        <v/>
      </c>
      <c r="AB323" s="632" t="str">
        <f t="shared" si="146"/>
        <v/>
      </c>
      <c r="AC323" s="634" t="str">
        <f t="shared" si="133"/>
        <v/>
      </c>
      <c r="AD323" s="635" t="str">
        <f t="shared" si="134"/>
        <v/>
      </c>
      <c r="AE323" s="633" t="str">
        <f t="shared" si="135"/>
        <v/>
      </c>
      <c r="AF323" s="632" t="str">
        <f t="shared" si="147"/>
        <v/>
      </c>
      <c r="AG323" s="636" t="str">
        <f t="shared" si="136"/>
        <v/>
      </c>
      <c r="AH323" s="637" t="str">
        <f t="shared" si="148"/>
        <v/>
      </c>
      <c r="AI323" s="633" t="str">
        <f t="shared" si="137"/>
        <v/>
      </c>
      <c r="AJ323" s="632" t="str">
        <f t="shared" si="149"/>
        <v/>
      </c>
      <c r="AK323" s="634" t="str">
        <f t="shared" si="138"/>
        <v/>
      </c>
      <c r="AL323" s="635" t="str">
        <f t="shared" si="150"/>
        <v/>
      </c>
      <c r="AM323" s="633" t="str">
        <f t="shared" si="139"/>
        <v/>
      </c>
      <c r="AN323" s="38"/>
    </row>
    <row r="324" spans="1:40" ht="13.2" x14ac:dyDescent="0.25">
      <c r="A324" s="123"/>
      <c r="B324" s="38"/>
      <c r="C324" s="801"/>
      <c r="D324" s="802"/>
      <c r="E324" s="357"/>
      <c r="F324" s="357"/>
      <c r="G324" s="357"/>
      <c r="H324" s="357"/>
      <c r="I324" s="357"/>
      <c r="J324" s="357"/>
      <c r="K324" s="357"/>
      <c r="L324" s="611"/>
      <c r="M324" s="45"/>
      <c r="N324" s="632" t="str">
        <f t="shared" si="125"/>
        <v/>
      </c>
      <c r="O324" s="633" t="str">
        <f t="shared" si="126"/>
        <v/>
      </c>
      <c r="P324" s="632" t="str">
        <f t="shared" si="140"/>
        <v/>
      </c>
      <c r="Q324" s="634" t="str">
        <f t="shared" si="127"/>
        <v/>
      </c>
      <c r="R324" s="635" t="str">
        <f t="shared" si="141"/>
        <v/>
      </c>
      <c r="S324" s="633" t="str">
        <f t="shared" si="128"/>
        <v/>
      </c>
      <c r="T324" s="632" t="str">
        <f t="shared" si="142"/>
        <v/>
      </c>
      <c r="U324" s="634" t="str">
        <f t="shared" si="129"/>
        <v/>
      </c>
      <c r="V324" s="635" t="str">
        <f t="shared" si="143"/>
        <v/>
      </c>
      <c r="W324" s="633" t="str">
        <f t="shared" si="130"/>
        <v/>
      </c>
      <c r="X324" s="632" t="str">
        <f t="shared" si="144"/>
        <v/>
      </c>
      <c r="Y324" s="636" t="str">
        <f t="shared" si="131"/>
        <v/>
      </c>
      <c r="Z324" s="637" t="str">
        <f t="shared" si="145"/>
        <v/>
      </c>
      <c r="AA324" s="633" t="str">
        <f t="shared" si="132"/>
        <v/>
      </c>
      <c r="AB324" s="632" t="str">
        <f t="shared" si="146"/>
        <v/>
      </c>
      <c r="AC324" s="634" t="str">
        <f t="shared" si="133"/>
        <v/>
      </c>
      <c r="AD324" s="635" t="str">
        <f t="shared" si="134"/>
        <v/>
      </c>
      <c r="AE324" s="633" t="str">
        <f t="shared" si="135"/>
        <v/>
      </c>
      <c r="AF324" s="632" t="str">
        <f t="shared" si="147"/>
        <v/>
      </c>
      <c r="AG324" s="636" t="str">
        <f t="shared" si="136"/>
        <v/>
      </c>
      <c r="AH324" s="637" t="str">
        <f t="shared" si="148"/>
        <v/>
      </c>
      <c r="AI324" s="633" t="str">
        <f t="shared" si="137"/>
        <v/>
      </c>
      <c r="AJ324" s="632" t="str">
        <f t="shared" si="149"/>
        <v/>
      </c>
      <c r="AK324" s="634" t="str">
        <f t="shared" si="138"/>
        <v/>
      </c>
      <c r="AL324" s="635" t="str">
        <f t="shared" si="150"/>
        <v/>
      </c>
      <c r="AM324" s="633" t="str">
        <f t="shared" si="139"/>
        <v/>
      </c>
      <c r="AN324" s="38"/>
    </row>
    <row r="325" spans="1:40" ht="13.2" x14ac:dyDescent="0.25">
      <c r="A325" s="123"/>
      <c r="B325" s="38"/>
      <c r="C325" s="801"/>
      <c r="D325" s="802"/>
      <c r="E325" s="357"/>
      <c r="F325" s="357"/>
      <c r="G325" s="357"/>
      <c r="H325" s="357"/>
      <c r="I325" s="357"/>
      <c r="J325" s="357"/>
      <c r="K325" s="357"/>
      <c r="L325" s="611"/>
      <c r="M325" s="45"/>
      <c r="N325" s="632" t="str">
        <f t="shared" si="125"/>
        <v/>
      </c>
      <c r="O325" s="633" t="str">
        <f t="shared" si="126"/>
        <v/>
      </c>
      <c r="P325" s="632" t="str">
        <f t="shared" si="140"/>
        <v/>
      </c>
      <c r="Q325" s="634" t="str">
        <f t="shared" si="127"/>
        <v/>
      </c>
      <c r="R325" s="635" t="str">
        <f t="shared" si="141"/>
        <v/>
      </c>
      <c r="S325" s="633" t="str">
        <f t="shared" si="128"/>
        <v/>
      </c>
      <c r="T325" s="632" t="str">
        <f t="shared" si="142"/>
        <v/>
      </c>
      <c r="U325" s="634" t="str">
        <f t="shared" si="129"/>
        <v/>
      </c>
      <c r="V325" s="635" t="str">
        <f t="shared" si="143"/>
        <v/>
      </c>
      <c r="W325" s="633" t="str">
        <f t="shared" si="130"/>
        <v/>
      </c>
      <c r="X325" s="632" t="str">
        <f t="shared" si="144"/>
        <v/>
      </c>
      <c r="Y325" s="636" t="str">
        <f t="shared" si="131"/>
        <v/>
      </c>
      <c r="Z325" s="637" t="str">
        <f t="shared" si="145"/>
        <v/>
      </c>
      <c r="AA325" s="633" t="str">
        <f t="shared" si="132"/>
        <v/>
      </c>
      <c r="AB325" s="632" t="str">
        <f t="shared" si="146"/>
        <v/>
      </c>
      <c r="AC325" s="634" t="str">
        <f t="shared" si="133"/>
        <v/>
      </c>
      <c r="AD325" s="635" t="str">
        <f t="shared" si="134"/>
        <v/>
      </c>
      <c r="AE325" s="633" t="str">
        <f t="shared" si="135"/>
        <v/>
      </c>
      <c r="AF325" s="632" t="str">
        <f t="shared" si="147"/>
        <v/>
      </c>
      <c r="AG325" s="636" t="str">
        <f t="shared" si="136"/>
        <v/>
      </c>
      <c r="AH325" s="637" t="str">
        <f t="shared" si="148"/>
        <v/>
      </c>
      <c r="AI325" s="633" t="str">
        <f t="shared" si="137"/>
        <v/>
      </c>
      <c r="AJ325" s="632" t="str">
        <f t="shared" si="149"/>
        <v/>
      </c>
      <c r="AK325" s="634" t="str">
        <f t="shared" si="138"/>
        <v/>
      </c>
      <c r="AL325" s="635" t="str">
        <f t="shared" si="150"/>
        <v/>
      </c>
      <c r="AM325" s="633" t="str">
        <f t="shared" si="139"/>
        <v/>
      </c>
      <c r="AN325" s="38"/>
    </row>
    <row r="326" spans="1:40" ht="13.2" x14ac:dyDescent="0.25">
      <c r="A326" s="123"/>
      <c r="B326" s="38"/>
      <c r="C326" s="801"/>
      <c r="D326" s="802"/>
      <c r="E326" s="357"/>
      <c r="F326" s="357"/>
      <c r="G326" s="357"/>
      <c r="H326" s="357"/>
      <c r="I326" s="357"/>
      <c r="J326" s="357"/>
      <c r="K326" s="357"/>
      <c r="L326" s="611"/>
      <c r="M326" s="45"/>
      <c r="N326" s="632" t="str">
        <f t="shared" si="125"/>
        <v/>
      </c>
      <c r="O326" s="633" t="str">
        <f t="shared" si="126"/>
        <v/>
      </c>
      <c r="P326" s="632" t="str">
        <f t="shared" si="140"/>
        <v/>
      </c>
      <c r="Q326" s="634" t="str">
        <f t="shared" si="127"/>
        <v/>
      </c>
      <c r="R326" s="635" t="str">
        <f t="shared" si="141"/>
        <v/>
      </c>
      <c r="S326" s="633" t="str">
        <f t="shared" si="128"/>
        <v/>
      </c>
      <c r="T326" s="632" t="str">
        <f t="shared" si="142"/>
        <v/>
      </c>
      <c r="U326" s="634" t="str">
        <f t="shared" si="129"/>
        <v/>
      </c>
      <c r="V326" s="635" t="str">
        <f t="shared" si="143"/>
        <v/>
      </c>
      <c r="W326" s="633" t="str">
        <f t="shared" si="130"/>
        <v/>
      </c>
      <c r="X326" s="632" t="str">
        <f t="shared" si="144"/>
        <v/>
      </c>
      <c r="Y326" s="636" t="str">
        <f t="shared" si="131"/>
        <v/>
      </c>
      <c r="Z326" s="637" t="str">
        <f t="shared" si="145"/>
        <v/>
      </c>
      <c r="AA326" s="633" t="str">
        <f t="shared" si="132"/>
        <v/>
      </c>
      <c r="AB326" s="632" t="str">
        <f t="shared" si="146"/>
        <v/>
      </c>
      <c r="AC326" s="634" t="str">
        <f t="shared" si="133"/>
        <v/>
      </c>
      <c r="AD326" s="635" t="str">
        <f t="shared" si="134"/>
        <v/>
      </c>
      <c r="AE326" s="633" t="str">
        <f t="shared" si="135"/>
        <v/>
      </c>
      <c r="AF326" s="632" t="str">
        <f t="shared" si="147"/>
        <v/>
      </c>
      <c r="AG326" s="636" t="str">
        <f t="shared" si="136"/>
        <v/>
      </c>
      <c r="AH326" s="637" t="str">
        <f t="shared" si="148"/>
        <v/>
      </c>
      <c r="AI326" s="633" t="str">
        <f t="shared" si="137"/>
        <v/>
      </c>
      <c r="AJ326" s="632" t="str">
        <f t="shared" si="149"/>
        <v/>
      </c>
      <c r="AK326" s="634" t="str">
        <f t="shared" si="138"/>
        <v/>
      </c>
      <c r="AL326" s="635" t="str">
        <f t="shared" si="150"/>
        <v/>
      </c>
      <c r="AM326" s="633" t="str">
        <f t="shared" si="139"/>
        <v/>
      </c>
      <c r="AN326" s="38"/>
    </row>
    <row r="327" spans="1:40" ht="13.2" x14ac:dyDescent="0.25">
      <c r="A327" s="123"/>
      <c r="B327" s="38"/>
      <c r="C327" s="801"/>
      <c r="D327" s="802"/>
      <c r="E327" s="357"/>
      <c r="F327" s="357"/>
      <c r="G327" s="357"/>
      <c r="H327" s="357"/>
      <c r="I327" s="357"/>
      <c r="J327" s="357"/>
      <c r="K327" s="357"/>
      <c r="L327" s="611"/>
      <c r="M327" s="45"/>
      <c r="N327" s="632" t="str">
        <f t="shared" si="125"/>
        <v/>
      </c>
      <c r="O327" s="633" t="str">
        <f t="shared" si="126"/>
        <v/>
      </c>
      <c r="P327" s="632" t="str">
        <f t="shared" si="140"/>
        <v/>
      </c>
      <c r="Q327" s="634" t="str">
        <f t="shared" si="127"/>
        <v/>
      </c>
      <c r="R327" s="635" t="str">
        <f t="shared" si="141"/>
        <v/>
      </c>
      <c r="S327" s="633" t="str">
        <f t="shared" si="128"/>
        <v/>
      </c>
      <c r="T327" s="632" t="str">
        <f t="shared" si="142"/>
        <v/>
      </c>
      <c r="U327" s="634" t="str">
        <f t="shared" si="129"/>
        <v/>
      </c>
      <c r="V327" s="635" t="str">
        <f t="shared" si="143"/>
        <v/>
      </c>
      <c r="W327" s="633" t="str">
        <f t="shared" si="130"/>
        <v/>
      </c>
      <c r="X327" s="632" t="str">
        <f t="shared" si="144"/>
        <v/>
      </c>
      <c r="Y327" s="636" t="str">
        <f t="shared" si="131"/>
        <v/>
      </c>
      <c r="Z327" s="637" t="str">
        <f t="shared" si="145"/>
        <v/>
      </c>
      <c r="AA327" s="633" t="str">
        <f t="shared" si="132"/>
        <v/>
      </c>
      <c r="AB327" s="632" t="str">
        <f t="shared" si="146"/>
        <v/>
      </c>
      <c r="AC327" s="634" t="str">
        <f t="shared" si="133"/>
        <v/>
      </c>
      <c r="AD327" s="635" t="str">
        <f t="shared" si="134"/>
        <v/>
      </c>
      <c r="AE327" s="633" t="str">
        <f t="shared" si="135"/>
        <v/>
      </c>
      <c r="AF327" s="632" t="str">
        <f t="shared" si="147"/>
        <v/>
      </c>
      <c r="AG327" s="636" t="str">
        <f t="shared" si="136"/>
        <v/>
      </c>
      <c r="AH327" s="637" t="str">
        <f t="shared" si="148"/>
        <v/>
      </c>
      <c r="AI327" s="633" t="str">
        <f t="shared" si="137"/>
        <v/>
      </c>
      <c r="AJ327" s="632" t="str">
        <f t="shared" si="149"/>
        <v/>
      </c>
      <c r="AK327" s="634" t="str">
        <f t="shared" si="138"/>
        <v/>
      </c>
      <c r="AL327" s="635" t="str">
        <f t="shared" si="150"/>
        <v/>
      </c>
      <c r="AM327" s="633" t="str">
        <f t="shared" si="139"/>
        <v/>
      </c>
      <c r="AN327" s="38"/>
    </row>
    <row r="328" spans="1:40" ht="13.2" x14ac:dyDescent="0.25">
      <c r="A328" s="123"/>
      <c r="B328" s="38"/>
      <c r="C328" s="801"/>
      <c r="D328" s="802"/>
      <c r="E328" s="357"/>
      <c r="F328" s="357"/>
      <c r="G328" s="357"/>
      <c r="H328" s="357"/>
      <c r="I328" s="357"/>
      <c r="J328" s="357"/>
      <c r="K328" s="357"/>
      <c r="L328" s="611"/>
      <c r="M328" s="45"/>
      <c r="N328" s="632" t="str">
        <f t="shared" si="125"/>
        <v/>
      </c>
      <c r="O328" s="633" t="str">
        <f t="shared" si="126"/>
        <v/>
      </c>
      <c r="P328" s="632" t="str">
        <f t="shared" si="140"/>
        <v/>
      </c>
      <c r="Q328" s="634" t="str">
        <f t="shared" si="127"/>
        <v/>
      </c>
      <c r="R328" s="635" t="str">
        <f t="shared" si="141"/>
        <v/>
      </c>
      <c r="S328" s="633" t="str">
        <f t="shared" si="128"/>
        <v/>
      </c>
      <c r="T328" s="632" t="str">
        <f t="shared" si="142"/>
        <v/>
      </c>
      <c r="U328" s="634" t="str">
        <f t="shared" si="129"/>
        <v/>
      </c>
      <c r="V328" s="635" t="str">
        <f t="shared" si="143"/>
        <v/>
      </c>
      <c r="W328" s="633" t="str">
        <f t="shared" si="130"/>
        <v/>
      </c>
      <c r="X328" s="632" t="str">
        <f t="shared" si="144"/>
        <v/>
      </c>
      <c r="Y328" s="636" t="str">
        <f t="shared" si="131"/>
        <v/>
      </c>
      <c r="Z328" s="637" t="str">
        <f t="shared" si="145"/>
        <v/>
      </c>
      <c r="AA328" s="633" t="str">
        <f t="shared" si="132"/>
        <v/>
      </c>
      <c r="AB328" s="632" t="str">
        <f t="shared" si="146"/>
        <v/>
      </c>
      <c r="AC328" s="634" t="str">
        <f t="shared" si="133"/>
        <v/>
      </c>
      <c r="AD328" s="635" t="str">
        <f t="shared" si="134"/>
        <v/>
      </c>
      <c r="AE328" s="633" t="str">
        <f t="shared" si="135"/>
        <v/>
      </c>
      <c r="AF328" s="632" t="str">
        <f t="shared" si="147"/>
        <v/>
      </c>
      <c r="AG328" s="636" t="str">
        <f t="shared" si="136"/>
        <v/>
      </c>
      <c r="AH328" s="637" t="str">
        <f t="shared" si="148"/>
        <v/>
      </c>
      <c r="AI328" s="633" t="str">
        <f t="shared" si="137"/>
        <v/>
      </c>
      <c r="AJ328" s="632" t="str">
        <f t="shared" si="149"/>
        <v/>
      </c>
      <c r="AK328" s="634" t="str">
        <f t="shared" si="138"/>
        <v/>
      </c>
      <c r="AL328" s="635" t="str">
        <f t="shared" si="150"/>
        <v/>
      </c>
      <c r="AM328" s="633" t="str">
        <f t="shared" si="139"/>
        <v/>
      </c>
      <c r="AN328" s="38"/>
    </row>
    <row r="329" spans="1:40" ht="13.2" x14ac:dyDescent="0.25">
      <c r="A329" s="123"/>
      <c r="B329" s="38"/>
      <c r="C329" s="801"/>
      <c r="D329" s="802"/>
      <c r="E329" s="360"/>
      <c r="F329" s="360"/>
      <c r="G329" s="360"/>
      <c r="H329" s="360"/>
      <c r="I329" s="360"/>
      <c r="J329" s="360"/>
      <c r="K329" s="360"/>
      <c r="L329" s="612"/>
      <c r="M329" s="45"/>
      <c r="N329" s="632" t="str">
        <f t="shared" si="125"/>
        <v/>
      </c>
      <c r="O329" s="633" t="str">
        <f t="shared" si="126"/>
        <v/>
      </c>
      <c r="P329" s="632" t="str">
        <f t="shared" si="140"/>
        <v/>
      </c>
      <c r="Q329" s="634" t="str">
        <f t="shared" si="127"/>
        <v/>
      </c>
      <c r="R329" s="635" t="str">
        <f t="shared" si="141"/>
        <v/>
      </c>
      <c r="S329" s="633" t="str">
        <f t="shared" si="128"/>
        <v/>
      </c>
      <c r="T329" s="632" t="str">
        <f t="shared" si="142"/>
        <v/>
      </c>
      <c r="U329" s="634" t="str">
        <f t="shared" si="129"/>
        <v/>
      </c>
      <c r="V329" s="635" t="str">
        <f t="shared" si="143"/>
        <v/>
      </c>
      <c r="W329" s="633" t="str">
        <f t="shared" si="130"/>
        <v/>
      </c>
      <c r="X329" s="632" t="str">
        <f t="shared" si="144"/>
        <v/>
      </c>
      <c r="Y329" s="636" t="str">
        <f t="shared" si="131"/>
        <v/>
      </c>
      <c r="Z329" s="637" t="str">
        <f t="shared" si="145"/>
        <v/>
      </c>
      <c r="AA329" s="633" t="str">
        <f t="shared" si="132"/>
        <v/>
      </c>
      <c r="AB329" s="632" t="str">
        <f t="shared" si="146"/>
        <v/>
      </c>
      <c r="AC329" s="634" t="str">
        <f t="shared" si="133"/>
        <v/>
      </c>
      <c r="AD329" s="635" t="str">
        <f t="shared" si="134"/>
        <v/>
      </c>
      <c r="AE329" s="633" t="str">
        <f t="shared" si="135"/>
        <v/>
      </c>
      <c r="AF329" s="632" t="str">
        <f t="shared" si="147"/>
        <v/>
      </c>
      <c r="AG329" s="636" t="str">
        <f t="shared" si="136"/>
        <v/>
      </c>
      <c r="AH329" s="637" t="str">
        <f t="shared" si="148"/>
        <v/>
      </c>
      <c r="AI329" s="633" t="str">
        <f t="shared" si="137"/>
        <v/>
      </c>
      <c r="AJ329" s="632" t="str">
        <f t="shared" si="149"/>
        <v/>
      </c>
      <c r="AK329" s="634" t="str">
        <f t="shared" si="138"/>
        <v/>
      </c>
      <c r="AL329" s="635" t="str">
        <f t="shared" si="150"/>
        <v/>
      </c>
      <c r="AM329" s="633" t="str">
        <f t="shared" si="139"/>
        <v/>
      </c>
      <c r="AN329" s="38"/>
    </row>
    <row r="330" spans="1:40" ht="13.2" x14ac:dyDescent="0.25">
      <c r="A330" s="123"/>
      <c r="B330" s="38"/>
      <c r="C330" s="801"/>
      <c r="D330" s="802"/>
      <c r="E330" s="357"/>
      <c r="F330" s="357"/>
      <c r="G330" s="357"/>
      <c r="H330" s="357"/>
      <c r="I330" s="357"/>
      <c r="J330" s="357"/>
      <c r="K330" s="357"/>
      <c r="L330" s="611"/>
      <c r="M330" s="38"/>
      <c r="N330" s="632" t="str">
        <f t="shared" si="125"/>
        <v/>
      </c>
      <c r="O330" s="633" t="str">
        <f t="shared" si="126"/>
        <v/>
      </c>
      <c r="P330" s="632" t="str">
        <f t="shared" si="140"/>
        <v/>
      </c>
      <c r="Q330" s="634" t="str">
        <f t="shared" si="127"/>
        <v/>
      </c>
      <c r="R330" s="635" t="str">
        <f t="shared" si="141"/>
        <v/>
      </c>
      <c r="S330" s="633" t="str">
        <f t="shared" si="128"/>
        <v/>
      </c>
      <c r="T330" s="632" t="str">
        <f t="shared" si="142"/>
        <v/>
      </c>
      <c r="U330" s="634" t="str">
        <f t="shared" si="129"/>
        <v/>
      </c>
      <c r="V330" s="635" t="str">
        <f t="shared" si="143"/>
        <v/>
      </c>
      <c r="W330" s="633" t="str">
        <f t="shared" si="130"/>
        <v/>
      </c>
      <c r="X330" s="632" t="str">
        <f t="shared" si="144"/>
        <v/>
      </c>
      <c r="Y330" s="636" t="str">
        <f t="shared" si="131"/>
        <v/>
      </c>
      <c r="Z330" s="637" t="str">
        <f t="shared" si="145"/>
        <v/>
      </c>
      <c r="AA330" s="633" t="str">
        <f t="shared" si="132"/>
        <v/>
      </c>
      <c r="AB330" s="632" t="str">
        <f t="shared" si="146"/>
        <v/>
      </c>
      <c r="AC330" s="634" t="str">
        <f t="shared" si="133"/>
        <v/>
      </c>
      <c r="AD330" s="635" t="str">
        <f t="shared" si="134"/>
        <v/>
      </c>
      <c r="AE330" s="633" t="str">
        <f t="shared" si="135"/>
        <v/>
      </c>
      <c r="AF330" s="632" t="str">
        <f t="shared" si="147"/>
        <v/>
      </c>
      <c r="AG330" s="636" t="str">
        <f t="shared" si="136"/>
        <v/>
      </c>
      <c r="AH330" s="637" t="str">
        <f t="shared" si="148"/>
        <v/>
      </c>
      <c r="AI330" s="633" t="str">
        <f t="shared" si="137"/>
        <v/>
      </c>
      <c r="AJ330" s="632" t="str">
        <f t="shared" si="149"/>
        <v/>
      </c>
      <c r="AK330" s="634" t="str">
        <f t="shared" si="138"/>
        <v/>
      </c>
      <c r="AL330" s="635" t="str">
        <f t="shared" si="150"/>
        <v/>
      </c>
      <c r="AM330" s="633" t="str">
        <f t="shared" si="139"/>
        <v/>
      </c>
      <c r="AN330" s="38"/>
    </row>
    <row r="331" spans="1:40" ht="13.2" x14ac:dyDescent="0.25">
      <c r="A331" s="123"/>
      <c r="B331" s="38"/>
      <c r="C331" s="801"/>
      <c r="D331" s="802"/>
      <c r="E331" s="357"/>
      <c r="F331" s="357"/>
      <c r="G331" s="357"/>
      <c r="H331" s="357"/>
      <c r="I331" s="357"/>
      <c r="J331" s="357"/>
      <c r="K331" s="357"/>
      <c r="L331" s="611"/>
      <c r="M331" s="38"/>
      <c r="N331" s="632" t="str">
        <f t="shared" si="125"/>
        <v/>
      </c>
      <c r="O331" s="633" t="str">
        <f t="shared" si="126"/>
        <v/>
      </c>
      <c r="P331" s="632" t="str">
        <f t="shared" si="140"/>
        <v/>
      </c>
      <c r="Q331" s="634" t="str">
        <f t="shared" si="127"/>
        <v/>
      </c>
      <c r="R331" s="635" t="str">
        <f t="shared" si="141"/>
        <v/>
      </c>
      <c r="S331" s="633" t="str">
        <f t="shared" si="128"/>
        <v/>
      </c>
      <c r="T331" s="632" t="str">
        <f t="shared" si="142"/>
        <v/>
      </c>
      <c r="U331" s="634" t="str">
        <f t="shared" si="129"/>
        <v/>
      </c>
      <c r="V331" s="635" t="str">
        <f t="shared" si="143"/>
        <v/>
      </c>
      <c r="W331" s="633" t="str">
        <f t="shared" si="130"/>
        <v/>
      </c>
      <c r="X331" s="632" t="str">
        <f t="shared" si="144"/>
        <v/>
      </c>
      <c r="Y331" s="636" t="str">
        <f t="shared" si="131"/>
        <v/>
      </c>
      <c r="Z331" s="637" t="str">
        <f t="shared" si="145"/>
        <v/>
      </c>
      <c r="AA331" s="633" t="str">
        <f t="shared" si="132"/>
        <v/>
      </c>
      <c r="AB331" s="632" t="str">
        <f t="shared" si="146"/>
        <v/>
      </c>
      <c r="AC331" s="634" t="str">
        <f t="shared" si="133"/>
        <v/>
      </c>
      <c r="AD331" s="635" t="str">
        <f t="shared" si="134"/>
        <v/>
      </c>
      <c r="AE331" s="633" t="str">
        <f t="shared" si="135"/>
        <v/>
      </c>
      <c r="AF331" s="632" t="str">
        <f t="shared" si="147"/>
        <v/>
      </c>
      <c r="AG331" s="636" t="str">
        <f t="shared" si="136"/>
        <v/>
      </c>
      <c r="AH331" s="637" t="str">
        <f t="shared" si="148"/>
        <v/>
      </c>
      <c r="AI331" s="633" t="str">
        <f t="shared" si="137"/>
        <v/>
      </c>
      <c r="AJ331" s="632" t="str">
        <f t="shared" si="149"/>
        <v/>
      </c>
      <c r="AK331" s="634" t="str">
        <f t="shared" si="138"/>
        <v/>
      </c>
      <c r="AL331" s="635" t="str">
        <f t="shared" si="150"/>
        <v/>
      </c>
      <c r="AM331" s="633" t="str">
        <f t="shared" si="139"/>
        <v/>
      </c>
      <c r="AN331" s="38"/>
    </row>
    <row r="332" spans="1:40" ht="13.2" x14ac:dyDescent="0.25">
      <c r="A332" s="123"/>
      <c r="B332" s="38"/>
      <c r="C332" s="801"/>
      <c r="D332" s="802"/>
      <c r="E332" s="357"/>
      <c r="F332" s="357"/>
      <c r="G332" s="357"/>
      <c r="H332" s="357"/>
      <c r="I332" s="357"/>
      <c r="J332" s="357"/>
      <c r="K332" s="357"/>
      <c r="L332" s="611"/>
      <c r="M332" s="38"/>
      <c r="N332" s="632" t="str">
        <f t="shared" si="125"/>
        <v/>
      </c>
      <c r="O332" s="633" t="str">
        <f t="shared" si="126"/>
        <v/>
      </c>
      <c r="P332" s="632" t="str">
        <f t="shared" si="140"/>
        <v/>
      </c>
      <c r="Q332" s="634" t="str">
        <f t="shared" si="127"/>
        <v/>
      </c>
      <c r="R332" s="635" t="str">
        <f t="shared" si="141"/>
        <v/>
      </c>
      <c r="S332" s="633" t="str">
        <f t="shared" si="128"/>
        <v/>
      </c>
      <c r="T332" s="632" t="str">
        <f t="shared" si="142"/>
        <v/>
      </c>
      <c r="U332" s="634" t="str">
        <f t="shared" si="129"/>
        <v/>
      </c>
      <c r="V332" s="635" t="str">
        <f t="shared" si="143"/>
        <v/>
      </c>
      <c r="W332" s="633" t="str">
        <f t="shared" si="130"/>
        <v/>
      </c>
      <c r="X332" s="632" t="str">
        <f t="shared" si="144"/>
        <v/>
      </c>
      <c r="Y332" s="636" t="str">
        <f t="shared" si="131"/>
        <v/>
      </c>
      <c r="Z332" s="637" t="str">
        <f t="shared" si="145"/>
        <v/>
      </c>
      <c r="AA332" s="633" t="str">
        <f t="shared" si="132"/>
        <v/>
      </c>
      <c r="AB332" s="632" t="str">
        <f t="shared" si="146"/>
        <v/>
      </c>
      <c r="AC332" s="634" t="str">
        <f t="shared" si="133"/>
        <v/>
      </c>
      <c r="AD332" s="635" t="str">
        <f t="shared" si="134"/>
        <v/>
      </c>
      <c r="AE332" s="633" t="str">
        <f t="shared" si="135"/>
        <v/>
      </c>
      <c r="AF332" s="632" t="str">
        <f t="shared" si="147"/>
        <v/>
      </c>
      <c r="AG332" s="636" t="str">
        <f t="shared" si="136"/>
        <v/>
      </c>
      <c r="AH332" s="637" t="str">
        <f t="shared" si="148"/>
        <v/>
      </c>
      <c r="AI332" s="633" t="str">
        <f t="shared" si="137"/>
        <v/>
      </c>
      <c r="AJ332" s="632" t="str">
        <f t="shared" si="149"/>
        <v/>
      </c>
      <c r="AK332" s="634" t="str">
        <f t="shared" si="138"/>
        <v/>
      </c>
      <c r="AL332" s="635" t="str">
        <f t="shared" si="150"/>
        <v/>
      </c>
      <c r="AM332" s="633" t="str">
        <f t="shared" si="139"/>
        <v/>
      </c>
      <c r="AN332" s="38"/>
    </row>
    <row r="333" spans="1:40" ht="13.2" x14ac:dyDescent="0.25">
      <c r="A333" s="123"/>
      <c r="B333" s="38"/>
      <c r="C333" s="801"/>
      <c r="D333" s="802"/>
      <c r="E333" s="357"/>
      <c r="F333" s="357"/>
      <c r="G333" s="357"/>
      <c r="H333" s="357"/>
      <c r="I333" s="357"/>
      <c r="J333" s="357"/>
      <c r="K333" s="357"/>
      <c r="L333" s="611"/>
      <c r="M333" s="38"/>
      <c r="N333" s="632" t="str">
        <f t="shared" si="125"/>
        <v/>
      </c>
      <c r="O333" s="633" t="str">
        <f t="shared" si="126"/>
        <v/>
      </c>
      <c r="P333" s="632" t="str">
        <f t="shared" si="140"/>
        <v/>
      </c>
      <c r="Q333" s="634" t="str">
        <f t="shared" si="127"/>
        <v/>
      </c>
      <c r="R333" s="635" t="str">
        <f t="shared" si="141"/>
        <v/>
      </c>
      <c r="S333" s="633" t="str">
        <f t="shared" si="128"/>
        <v/>
      </c>
      <c r="T333" s="632" t="str">
        <f t="shared" si="142"/>
        <v/>
      </c>
      <c r="U333" s="634" t="str">
        <f t="shared" si="129"/>
        <v/>
      </c>
      <c r="V333" s="635" t="str">
        <f t="shared" si="143"/>
        <v/>
      </c>
      <c r="W333" s="633" t="str">
        <f t="shared" si="130"/>
        <v/>
      </c>
      <c r="X333" s="632" t="str">
        <f t="shared" si="144"/>
        <v/>
      </c>
      <c r="Y333" s="636" t="str">
        <f t="shared" si="131"/>
        <v/>
      </c>
      <c r="Z333" s="637" t="str">
        <f t="shared" si="145"/>
        <v/>
      </c>
      <c r="AA333" s="633" t="str">
        <f t="shared" si="132"/>
        <v/>
      </c>
      <c r="AB333" s="632" t="str">
        <f t="shared" si="146"/>
        <v/>
      </c>
      <c r="AC333" s="634" t="str">
        <f t="shared" si="133"/>
        <v/>
      </c>
      <c r="AD333" s="635" t="str">
        <f t="shared" si="134"/>
        <v/>
      </c>
      <c r="AE333" s="633" t="str">
        <f t="shared" si="135"/>
        <v/>
      </c>
      <c r="AF333" s="632" t="str">
        <f t="shared" si="147"/>
        <v/>
      </c>
      <c r="AG333" s="636" t="str">
        <f t="shared" si="136"/>
        <v/>
      </c>
      <c r="AH333" s="637" t="str">
        <f t="shared" si="148"/>
        <v/>
      </c>
      <c r="AI333" s="633" t="str">
        <f t="shared" si="137"/>
        <v/>
      </c>
      <c r="AJ333" s="632" t="str">
        <f t="shared" si="149"/>
        <v/>
      </c>
      <c r="AK333" s="634" t="str">
        <f t="shared" si="138"/>
        <v/>
      </c>
      <c r="AL333" s="635" t="str">
        <f t="shared" si="150"/>
        <v/>
      </c>
      <c r="AM333" s="633" t="str">
        <f t="shared" si="139"/>
        <v/>
      </c>
      <c r="AN333" s="38"/>
    </row>
    <row r="334" spans="1:40" ht="13.2" x14ac:dyDescent="0.25">
      <c r="A334" s="123"/>
      <c r="B334" s="38"/>
      <c r="C334" s="801"/>
      <c r="D334" s="802"/>
      <c r="E334" s="357"/>
      <c r="F334" s="357"/>
      <c r="G334" s="357"/>
      <c r="H334" s="357"/>
      <c r="I334" s="357"/>
      <c r="J334" s="357"/>
      <c r="K334" s="357"/>
      <c r="L334" s="611"/>
      <c r="M334" s="38"/>
      <c r="N334" s="632" t="str">
        <f t="shared" si="125"/>
        <v/>
      </c>
      <c r="O334" s="633" t="str">
        <f t="shared" si="126"/>
        <v/>
      </c>
      <c r="P334" s="632" t="str">
        <f t="shared" si="140"/>
        <v/>
      </c>
      <c r="Q334" s="634" t="str">
        <f t="shared" si="127"/>
        <v/>
      </c>
      <c r="R334" s="635" t="str">
        <f t="shared" si="141"/>
        <v/>
      </c>
      <c r="S334" s="633" t="str">
        <f t="shared" si="128"/>
        <v/>
      </c>
      <c r="T334" s="632" t="str">
        <f t="shared" si="142"/>
        <v/>
      </c>
      <c r="U334" s="634" t="str">
        <f t="shared" si="129"/>
        <v/>
      </c>
      <c r="V334" s="635" t="str">
        <f t="shared" si="143"/>
        <v/>
      </c>
      <c r="W334" s="633" t="str">
        <f t="shared" si="130"/>
        <v/>
      </c>
      <c r="X334" s="632" t="str">
        <f t="shared" si="144"/>
        <v/>
      </c>
      <c r="Y334" s="636" t="str">
        <f t="shared" si="131"/>
        <v/>
      </c>
      <c r="Z334" s="637" t="str">
        <f t="shared" si="145"/>
        <v/>
      </c>
      <c r="AA334" s="633" t="str">
        <f t="shared" si="132"/>
        <v/>
      </c>
      <c r="AB334" s="632" t="str">
        <f t="shared" si="146"/>
        <v/>
      </c>
      <c r="AC334" s="634" t="str">
        <f t="shared" si="133"/>
        <v/>
      </c>
      <c r="AD334" s="635" t="str">
        <f t="shared" si="134"/>
        <v/>
      </c>
      <c r="AE334" s="633" t="str">
        <f t="shared" si="135"/>
        <v/>
      </c>
      <c r="AF334" s="632" t="str">
        <f t="shared" si="147"/>
        <v/>
      </c>
      <c r="AG334" s="636" t="str">
        <f t="shared" si="136"/>
        <v/>
      </c>
      <c r="AH334" s="637" t="str">
        <f t="shared" si="148"/>
        <v/>
      </c>
      <c r="AI334" s="633" t="str">
        <f t="shared" si="137"/>
        <v/>
      </c>
      <c r="AJ334" s="632" t="str">
        <f t="shared" si="149"/>
        <v/>
      </c>
      <c r="AK334" s="634" t="str">
        <f t="shared" si="138"/>
        <v/>
      </c>
      <c r="AL334" s="635" t="str">
        <f t="shared" si="150"/>
        <v/>
      </c>
      <c r="AM334" s="633" t="str">
        <f t="shared" si="139"/>
        <v/>
      </c>
      <c r="AN334" s="38"/>
    </row>
    <row r="335" spans="1:40" ht="13.2" x14ac:dyDescent="0.25">
      <c r="A335" s="123"/>
      <c r="B335" s="38"/>
      <c r="C335" s="801"/>
      <c r="D335" s="802"/>
      <c r="E335" s="357"/>
      <c r="F335" s="357"/>
      <c r="G335" s="357"/>
      <c r="H335" s="357"/>
      <c r="I335" s="357"/>
      <c r="J335" s="357"/>
      <c r="K335" s="357"/>
      <c r="L335" s="611"/>
      <c r="M335" s="38"/>
      <c r="N335" s="632" t="str">
        <f t="shared" si="125"/>
        <v/>
      </c>
      <c r="O335" s="633" t="str">
        <f t="shared" si="126"/>
        <v/>
      </c>
      <c r="P335" s="632" t="str">
        <f t="shared" si="140"/>
        <v/>
      </c>
      <c r="Q335" s="634" t="str">
        <f t="shared" si="127"/>
        <v/>
      </c>
      <c r="R335" s="635" t="str">
        <f t="shared" si="141"/>
        <v/>
      </c>
      <c r="S335" s="633" t="str">
        <f t="shared" si="128"/>
        <v/>
      </c>
      <c r="T335" s="632" t="str">
        <f t="shared" si="142"/>
        <v/>
      </c>
      <c r="U335" s="634" t="str">
        <f t="shared" si="129"/>
        <v/>
      </c>
      <c r="V335" s="635" t="str">
        <f t="shared" si="143"/>
        <v/>
      </c>
      <c r="W335" s="633" t="str">
        <f t="shared" si="130"/>
        <v/>
      </c>
      <c r="X335" s="632" t="str">
        <f t="shared" si="144"/>
        <v/>
      </c>
      <c r="Y335" s="636" t="str">
        <f t="shared" si="131"/>
        <v/>
      </c>
      <c r="Z335" s="637" t="str">
        <f t="shared" si="145"/>
        <v/>
      </c>
      <c r="AA335" s="633" t="str">
        <f t="shared" si="132"/>
        <v/>
      </c>
      <c r="AB335" s="632" t="str">
        <f t="shared" si="146"/>
        <v/>
      </c>
      <c r="AC335" s="634" t="str">
        <f t="shared" si="133"/>
        <v/>
      </c>
      <c r="AD335" s="635" t="str">
        <f t="shared" si="134"/>
        <v/>
      </c>
      <c r="AE335" s="633" t="str">
        <f t="shared" si="135"/>
        <v/>
      </c>
      <c r="AF335" s="632" t="str">
        <f t="shared" si="147"/>
        <v/>
      </c>
      <c r="AG335" s="636" t="str">
        <f t="shared" si="136"/>
        <v/>
      </c>
      <c r="AH335" s="637" t="str">
        <f t="shared" si="148"/>
        <v/>
      </c>
      <c r="AI335" s="633" t="str">
        <f t="shared" si="137"/>
        <v/>
      </c>
      <c r="AJ335" s="632" t="str">
        <f t="shared" si="149"/>
        <v/>
      </c>
      <c r="AK335" s="634" t="str">
        <f t="shared" si="138"/>
        <v/>
      </c>
      <c r="AL335" s="635" t="str">
        <f t="shared" si="150"/>
        <v/>
      </c>
      <c r="AM335" s="633" t="str">
        <f t="shared" si="139"/>
        <v/>
      </c>
      <c r="AN335" s="38"/>
    </row>
    <row r="336" spans="1:40" ht="13.2" x14ac:dyDescent="0.25">
      <c r="A336" s="123"/>
      <c r="B336" s="38"/>
      <c r="C336" s="801"/>
      <c r="D336" s="802"/>
      <c r="E336" s="357"/>
      <c r="F336" s="357"/>
      <c r="G336" s="357"/>
      <c r="H336" s="357"/>
      <c r="I336" s="357"/>
      <c r="J336" s="357"/>
      <c r="K336" s="357"/>
      <c r="L336" s="611"/>
      <c r="M336" s="38"/>
      <c r="N336" s="632" t="str">
        <f t="shared" si="125"/>
        <v/>
      </c>
      <c r="O336" s="633" t="str">
        <f t="shared" si="126"/>
        <v/>
      </c>
      <c r="P336" s="632" t="str">
        <f t="shared" si="140"/>
        <v/>
      </c>
      <c r="Q336" s="634" t="str">
        <f t="shared" si="127"/>
        <v/>
      </c>
      <c r="R336" s="635" t="str">
        <f t="shared" si="141"/>
        <v/>
      </c>
      <c r="S336" s="633" t="str">
        <f t="shared" si="128"/>
        <v/>
      </c>
      <c r="T336" s="632" t="str">
        <f t="shared" si="142"/>
        <v/>
      </c>
      <c r="U336" s="634" t="str">
        <f t="shared" si="129"/>
        <v/>
      </c>
      <c r="V336" s="635" t="str">
        <f t="shared" si="143"/>
        <v/>
      </c>
      <c r="W336" s="633" t="str">
        <f t="shared" si="130"/>
        <v/>
      </c>
      <c r="X336" s="632" t="str">
        <f t="shared" si="144"/>
        <v/>
      </c>
      <c r="Y336" s="636" t="str">
        <f t="shared" si="131"/>
        <v/>
      </c>
      <c r="Z336" s="637" t="str">
        <f t="shared" si="145"/>
        <v/>
      </c>
      <c r="AA336" s="633" t="str">
        <f t="shared" si="132"/>
        <v/>
      </c>
      <c r="AB336" s="632" t="str">
        <f t="shared" si="146"/>
        <v/>
      </c>
      <c r="AC336" s="634" t="str">
        <f t="shared" si="133"/>
        <v/>
      </c>
      <c r="AD336" s="635" t="str">
        <f t="shared" si="134"/>
        <v/>
      </c>
      <c r="AE336" s="633" t="str">
        <f t="shared" si="135"/>
        <v/>
      </c>
      <c r="AF336" s="632" t="str">
        <f t="shared" si="147"/>
        <v/>
      </c>
      <c r="AG336" s="636" t="str">
        <f t="shared" si="136"/>
        <v/>
      </c>
      <c r="AH336" s="637" t="str">
        <f t="shared" si="148"/>
        <v/>
      </c>
      <c r="AI336" s="633" t="str">
        <f t="shared" si="137"/>
        <v/>
      </c>
      <c r="AJ336" s="632" t="str">
        <f t="shared" si="149"/>
        <v/>
      </c>
      <c r="AK336" s="634" t="str">
        <f t="shared" si="138"/>
        <v/>
      </c>
      <c r="AL336" s="635" t="str">
        <f t="shared" si="150"/>
        <v/>
      </c>
      <c r="AM336" s="633" t="str">
        <f t="shared" si="139"/>
        <v/>
      </c>
      <c r="AN336" s="38"/>
    </row>
    <row r="337" spans="1:40" ht="13.2" x14ac:dyDescent="0.25">
      <c r="A337" s="123"/>
      <c r="B337" s="38"/>
      <c r="C337" s="801"/>
      <c r="D337" s="802"/>
      <c r="E337" s="357"/>
      <c r="F337" s="357"/>
      <c r="G337" s="357"/>
      <c r="H337" s="357"/>
      <c r="I337" s="357"/>
      <c r="J337" s="357"/>
      <c r="K337" s="357"/>
      <c r="L337" s="611"/>
      <c r="M337" s="38"/>
      <c r="N337" s="632" t="str">
        <f t="shared" si="125"/>
        <v/>
      </c>
      <c r="O337" s="633" t="str">
        <f t="shared" si="126"/>
        <v/>
      </c>
      <c r="P337" s="632" t="str">
        <f t="shared" si="140"/>
        <v/>
      </c>
      <c r="Q337" s="634" t="str">
        <f t="shared" si="127"/>
        <v/>
      </c>
      <c r="R337" s="635" t="str">
        <f t="shared" si="141"/>
        <v/>
      </c>
      <c r="S337" s="633" t="str">
        <f t="shared" si="128"/>
        <v/>
      </c>
      <c r="T337" s="632" t="str">
        <f t="shared" si="142"/>
        <v/>
      </c>
      <c r="U337" s="634" t="str">
        <f t="shared" si="129"/>
        <v/>
      </c>
      <c r="V337" s="635" t="str">
        <f t="shared" si="143"/>
        <v/>
      </c>
      <c r="W337" s="633" t="str">
        <f t="shared" si="130"/>
        <v/>
      </c>
      <c r="X337" s="632" t="str">
        <f t="shared" si="144"/>
        <v/>
      </c>
      <c r="Y337" s="636" t="str">
        <f t="shared" si="131"/>
        <v/>
      </c>
      <c r="Z337" s="637" t="str">
        <f t="shared" si="145"/>
        <v/>
      </c>
      <c r="AA337" s="633" t="str">
        <f t="shared" si="132"/>
        <v/>
      </c>
      <c r="AB337" s="632" t="str">
        <f t="shared" si="146"/>
        <v/>
      </c>
      <c r="AC337" s="634" t="str">
        <f t="shared" si="133"/>
        <v/>
      </c>
      <c r="AD337" s="635" t="str">
        <f t="shared" si="134"/>
        <v/>
      </c>
      <c r="AE337" s="633" t="str">
        <f t="shared" si="135"/>
        <v/>
      </c>
      <c r="AF337" s="632" t="str">
        <f t="shared" si="147"/>
        <v/>
      </c>
      <c r="AG337" s="636" t="str">
        <f t="shared" si="136"/>
        <v/>
      </c>
      <c r="AH337" s="637" t="str">
        <f t="shared" si="148"/>
        <v/>
      </c>
      <c r="AI337" s="633" t="str">
        <f t="shared" si="137"/>
        <v/>
      </c>
      <c r="AJ337" s="632" t="str">
        <f t="shared" si="149"/>
        <v/>
      </c>
      <c r="AK337" s="634" t="str">
        <f t="shared" si="138"/>
        <v/>
      </c>
      <c r="AL337" s="635" t="str">
        <f t="shared" si="150"/>
        <v/>
      </c>
      <c r="AM337" s="633" t="str">
        <f t="shared" si="139"/>
        <v/>
      </c>
      <c r="AN337" s="38"/>
    </row>
    <row r="338" spans="1:40" ht="13.2" x14ac:dyDescent="0.25">
      <c r="A338" s="123"/>
      <c r="B338" s="38"/>
      <c r="C338" s="801"/>
      <c r="D338" s="802"/>
      <c r="E338" s="357"/>
      <c r="F338" s="357"/>
      <c r="G338" s="357"/>
      <c r="H338" s="357"/>
      <c r="I338" s="357"/>
      <c r="J338" s="357"/>
      <c r="K338" s="357"/>
      <c r="L338" s="611"/>
      <c r="M338" s="38"/>
      <c r="N338" s="632" t="str">
        <f t="shared" si="125"/>
        <v/>
      </c>
      <c r="O338" s="633" t="str">
        <f t="shared" si="126"/>
        <v/>
      </c>
      <c r="P338" s="632" t="str">
        <f t="shared" si="140"/>
        <v/>
      </c>
      <c r="Q338" s="634" t="str">
        <f t="shared" si="127"/>
        <v/>
      </c>
      <c r="R338" s="635" t="str">
        <f t="shared" si="141"/>
        <v/>
      </c>
      <c r="S338" s="633" t="str">
        <f t="shared" si="128"/>
        <v/>
      </c>
      <c r="T338" s="632" t="str">
        <f t="shared" si="142"/>
        <v/>
      </c>
      <c r="U338" s="634" t="str">
        <f t="shared" si="129"/>
        <v/>
      </c>
      <c r="V338" s="635" t="str">
        <f t="shared" si="143"/>
        <v/>
      </c>
      <c r="W338" s="633" t="str">
        <f t="shared" si="130"/>
        <v/>
      </c>
      <c r="X338" s="632" t="str">
        <f t="shared" si="144"/>
        <v/>
      </c>
      <c r="Y338" s="636" t="str">
        <f t="shared" si="131"/>
        <v/>
      </c>
      <c r="Z338" s="637" t="str">
        <f t="shared" si="145"/>
        <v/>
      </c>
      <c r="AA338" s="633" t="str">
        <f t="shared" si="132"/>
        <v/>
      </c>
      <c r="AB338" s="632" t="str">
        <f t="shared" si="146"/>
        <v/>
      </c>
      <c r="AC338" s="634" t="str">
        <f t="shared" si="133"/>
        <v/>
      </c>
      <c r="AD338" s="635" t="str">
        <f t="shared" si="134"/>
        <v/>
      </c>
      <c r="AE338" s="633" t="str">
        <f t="shared" si="135"/>
        <v/>
      </c>
      <c r="AF338" s="632" t="str">
        <f t="shared" si="147"/>
        <v/>
      </c>
      <c r="AG338" s="636" t="str">
        <f t="shared" si="136"/>
        <v/>
      </c>
      <c r="AH338" s="637" t="str">
        <f t="shared" si="148"/>
        <v/>
      </c>
      <c r="AI338" s="633" t="str">
        <f t="shared" si="137"/>
        <v/>
      </c>
      <c r="AJ338" s="632" t="str">
        <f t="shared" si="149"/>
        <v/>
      </c>
      <c r="AK338" s="634" t="str">
        <f t="shared" si="138"/>
        <v/>
      </c>
      <c r="AL338" s="635" t="str">
        <f t="shared" si="150"/>
        <v/>
      </c>
      <c r="AM338" s="633" t="str">
        <f t="shared" si="139"/>
        <v/>
      </c>
      <c r="AN338" s="38"/>
    </row>
    <row r="339" spans="1:40" ht="13.8" thickBot="1" x14ac:dyDescent="0.3">
      <c r="A339" s="123"/>
      <c r="B339" s="38"/>
      <c r="C339" s="805"/>
      <c r="D339" s="806"/>
      <c r="E339" s="474"/>
      <c r="F339" s="474"/>
      <c r="G339" s="474"/>
      <c r="H339" s="474"/>
      <c r="I339" s="474"/>
      <c r="J339" s="474"/>
      <c r="K339" s="474"/>
      <c r="L339" s="613"/>
      <c r="M339" s="38"/>
      <c r="N339" s="642" t="str">
        <f t="shared" si="125"/>
        <v/>
      </c>
      <c r="O339" s="646" t="str">
        <f t="shared" si="126"/>
        <v/>
      </c>
      <c r="P339" s="642" t="str">
        <f t="shared" si="140"/>
        <v/>
      </c>
      <c r="Q339" s="647" t="str">
        <f t="shared" si="127"/>
        <v/>
      </c>
      <c r="R339" s="648" t="str">
        <f t="shared" si="141"/>
        <v/>
      </c>
      <c r="S339" s="646" t="str">
        <f t="shared" si="128"/>
        <v/>
      </c>
      <c r="T339" s="642" t="str">
        <f t="shared" si="142"/>
        <v/>
      </c>
      <c r="U339" s="647" t="str">
        <f t="shared" si="129"/>
        <v/>
      </c>
      <c r="V339" s="648" t="str">
        <f t="shared" si="143"/>
        <v/>
      </c>
      <c r="W339" s="646" t="str">
        <f t="shared" si="130"/>
        <v/>
      </c>
      <c r="X339" s="642" t="str">
        <f t="shared" si="144"/>
        <v/>
      </c>
      <c r="Y339" s="649" t="str">
        <f t="shared" si="131"/>
        <v/>
      </c>
      <c r="Z339" s="650" t="str">
        <f t="shared" si="145"/>
        <v/>
      </c>
      <c r="AA339" s="646" t="str">
        <f t="shared" si="132"/>
        <v/>
      </c>
      <c r="AB339" s="642" t="str">
        <f t="shared" si="146"/>
        <v/>
      </c>
      <c r="AC339" s="647" t="str">
        <f t="shared" si="133"/>
        <v/>
      </c>
      <c r="AD339" s="648" t="str">
        <f t="shared" si="134"/>
        <v/>
      </c>
      <c r="AE339" s="646" t="str">
        <f t="shared" si="135"/>
        <v/>
      </c>
      <c r="AF339" s="642" t="str">
        <f t="shared" si="147"/>
        <v/>
      </c>
      <c r="AG339" s="649" t="str">
        <f t="shared" si="136"/>
        <v/>
      </c>
      <c r="AH339" s="650" t="str">
        <f t="shared" si="148"/>
        <v/>
      </c>
      <c r="AI339" s="646" t="str">
        <f t="shared" si="137"/>
        <v/>
      </c>
      <c r="AJ339" s="642" t="str">
        <f t="shared" si="149"/>
        <v/>
      </c>
      <c r="AK339" s="647" t="str">
        <f t="shared" si="138"/>
        <v/>
      </c>
      <c r="AL339" s="648" t="str">
        <f t="shared" si="150"/>
        <v/>
      </c>
      <c r="AM339" s="646" t="str">
        <f t="shared" si="139"/>
        <v/>
      </c>
      <c r="AN339" s="38"/>
    </row>
    <row r="340" spans="1:40" ht="12" thickTop="1" x14ac:dyDescent="0.2">
      <c r="A340" s="26"/>
      <c r="B340" s="38"/>
      <c r="C340" s="38"/>
      <c r="D340" s="38"/>
      <c r="E340" s="38"/>
      <c r="F340" s="38"/>
      <c r="G340" s="38"/>
      <c r="H340" s="38"/>
      <c r="I340" s="38"/>
      <c r="J340" s="38"/>
      <c r="K340" s="38"/>
      <c r="L340" s="38"/>
      <c r="M340" s="38"/>
      <c r="N340" s="242"/>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row>
    <row r="341" spans="1:40" x14ac:dyDescent="0.2">
      <c r="A341" s="26"/>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row>
    <row r="342" spans="1:40" ht="15.6" x14ac:dyDescent="0.3">
      <c r="A342" s="26"/>
      <c r="B342" s="38"/>
      <c r="C342" s="83" t="s">
        <v>63</v>
      </c>
      <c r="D342" s="38"/>
      <c r="E342" s="38"/>
      <c r="F342" s="38"/>
      <c r="G342" s="38"/>
      <c r="H342" s="38"/>
      <c r="I342" s="38"/>
      <c r="J342" s="38"/>
      <c r="K342" s="38"/>
      <c r="L342" s="38"/>
      <c r="M342" s="38"/>
      <c r="N342" s="83"/>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row>
    <row r="343" spans="1:40" ht="12" thickBot="1" x14ac:dyDescent="0.25">
      <c r="A343" s="26"/>
      <c r="B343" s="38"/>
      <c r="C343" s="38"/>
      <c r="D343" s="38"/>
      <c r="E343" s="38"/>
      <c r="F343" s="38"/>
      <c r="G343" s="38"/>
      <c r="H343" s="38"/>
      <c r="I343" s="38"/>
      <c r="J343" s="38"/>
      <c r="K343" s="38"/>
      <c r="L343" s="38"/>
      <c r="M343" s="38"/>
      <c r="N343" s="244"/>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row>
    <row r="344" spans="1:40" ht="16.8" thickTop="1" thickBot="1" x14ac:dyDescent="0.35">
      <c r="A344" s="26"/>
      <c r="B344" s="38"/>
      <c r="C344" s="38"/>
      <c r="D344" s="38"/>
      <c r="E344" s="38"/>
      <c r="F344" s="807" t="s">
        <v>63</v>
      </c>
      <c r="G344" s="808"/>
      <c r="H344" s="808"/>
      <c r="I344" s="808"/>
      <c r="J344" s="808"/>
      <c r="K344" s="808"/>
      <c r="L344" s="809"/>
      <c r="M344" s="45"/>
      <c r="N344" s="815" t="s">
        <v>595</v>
      </c>
      <c r="O344" s="816"/>
      <c r="P344" s="816"/>
      <c r="Q344" s="816"/>
      <c r="R344" s="816"/>
      <c r="S344" s="816"/>
      <c r="T344" s="816"/>
      <c r="U344" s="816"/>
      <c r="V344" s="816"/>
      <c r="W344" s="816"/>
      <c r="X344" s="816"/>
      <c r="Y344" s="816"/>
      <c r="Z344" s="816"/>
      <c r="AA344" s="816"/>
      <c r="AB344" s="816"/>
      <c r="AC344" s="816"/>
      <c r="AD344" s="816"/>
      <c r="AE344" s="816"/>
      <c r="AF344" s="816"/>
      <c r="AG344" s="816"/>
      <c r="AH344" s="816"/>
      <c r="AI344" s="816"/>
      <c r="AJ344" s="816"/>
      <c r="AK344" s="816"/>
      <c r="AL344" s="816"/>
      <c r="AM344" s="817"/>
      <c r="AN344" s="38"/>
    </row>
    <row r="345" spans="1:40" ht="39" customHeight="1" thickTop="1" x14ac:dyDescent="0.25">
      <c r="A345" s="26"/>
      <c r="B345" s="38"/>
      <c r="C345" s="803" t="s">
        <v>48</v>
      </c>
      <c r="D345" s="804"/>
      <c r="E345" s="608" t="s">
        <v>607</v>
      </c>
      <c r="F345" s="608" t="s">
        <v>49</v>
      </c>
      <c r="G345" s="608" t="s">
        <v>50</v>
      </c>
      <c r="H345" s="608" t="s">
        <v>51</v>
      </c>
      <c r="I345" s="608" t="s">
        <v>52</v>
      </c>
      <c r="J345" s="608" t="s">
        <v>53</v>
      </c>
      <c r="K345" s="608" t="s">
        <v>54</v>
      </c>
      <c r="L345" s="609" t="s">
        <v>55</v>
      </c>
      <c r="M345" s="45"/>
      <c r="N345" s="798" t="s">
        <v>56</v>
      </c>
      <c r="O345" s="800"/>
      <c r="P345" s="798" t="s">
        <v>57</v>
      </c>
      <c r="Q345" s="799"/>
      <c r="R345" s="799"/>
      <c r="S345" s="800"/>
      <c r="T345" s="798" t="s">
        <v>58</v>
      </c>
      <c r="U345" s="799"/>
      <c r="V345" s="799"/>
      <c r="W345" s="800"/>
      <c r="X345" s="795" t="s">
        <v>59</v>
      </c>
      <c r="Y345" s="796"/>
      <c r="Z345" s="796"/>
      <c r="AA345" s="797"/>
      <c r="AB345" s="795" t="s">
        <v>60</v>
      </c>
      <c r="AC345" s="796"/>
      <c r="AD345" s="796"/>
      <c r="AE345" s="797"/>
      <c r="AF345" s="795" t="s">
        <v>61</v>
      </c>
      <c r="AG345" s="796"/>
      <c r="AH345" s="796"/>
      <c r="AI345" s="797"/>
      <c r="AJ345" s="795" t="s">
        <v>62</v>
      </c>
      <c r="AK345" s="796"/>
      <c r="AL345" s="796"/>
      <c r="AM345" s="797"/>
      <c r="AN345" s="38"/>
    </row>
    <row r="346" spans="1:40" ht="13.2" x14ac:dyDescent="0.25">
      <c r="A346" s="26"/>
      <c r="B346" s="38"/>
      <c r="C346" s="610"/>
      <c r="D346" s="87"/>
      <c r="E346" s="629" t="str">
        <f>E313</f>
        <v>2017-18</v>
      </c>
      <c r="F346" s="629" t="str">
        <f>F313</f>
        <v>2018-19</v>
      </c>
      <c r="G346" s="629" t="str">
        <f t="shared" ref="G346:L346" si="151">G313</f>
        <v>2019-20</v>
      </c>
      <c r="H346" s="629" t="str">
        <f t="shared" si="151"/>
        <v>2020-21</v>
      </c>
      <c r="I346" s="629" t="str">
        <f t="shared" si="151"/>
        <v>2021-22</v>
      </c>
      <c r="J346" s="629" t="str">
        <f t="shared" si="151"/>
        <v>2022-23</v>
      </c>
      <c r="K346" s="629" t="str">
        <f t="shared" si="151"/>
        <v>2023-24</v>
      </c>
      <c r="L346" s="652" t="str">
        <f t="shared" si="151"/>
        <v>2024-25</v>
      </c>
      <c r="M346" s="45"/>
      <c r="N346" s="235" t="s">
        <v>44</v>
      </c>
      <c r="O346" s="232" t="s">
        <v>67</v>
      </c>
      <c r="P346" s="235" t="s">
        <v>44</v>
      </c>
      <c r="Q346" s="231" t="s">
        <v>67</v>
      </c>
      <c r="R346" s="228" t="s">
        <v>45</v>
      </c>
      <c r="S346" s="232" t="s">
        <v>67</v>
      </c>
      <c r="T346" s="235" t="s">
        <v>44</v>
      </c>
      <c r="U346" s="231" t="s">
        <v>67</v>
      </c>
      <c r="V346" s="228" t="s">
        <v>45</v>
      </c>
      <c r="W346" s="232" t="s">
        <v>67</v>
      </c>
      <c r="X346" s="235" t="s">
        <v>44</v>
      </c>
      <c r="Y346" s="228" t="s">
        <v>67</v>
      </c>
      <c r="Z346" s="229" t="s">
        <v>45</v>
      </c>
      <c r="AA346" s="232" t="s">
        <v>67</v>
      </c>
      <c r="AB346" s="235" t="s">
        <v>44</v>
      </c>
      <c r="AC346" s="231" t="s">
        <v>67</v>
      </c>
      <c r="AD346" s="228" t="s">
        <v>45</v>
      </c>
      <c r="AE346" s="232" t="s">
        <v>67</v>
      </c>
      <c r="AF346" s="235" t="s">
        <v>44</v>
      </c>
      <c r="AG346" s="228" t="s">
        <v>67</v>
      </c>
      <c r="AH346" s="229" t="s">
        <v>45</v>
      </c>
      <c r="AI346" s="232" t="s">
        <v>67</v>
      </c>
      <c r="AJ346" s="235" t="s">
        <v>44</v>
      </c>
      <c r="AK346" s="231" t="s">
        <v>67</v>
      </c>
      <c r="AL346" s="228" t="s">
        <v>45</v>
      </c>
      <c r="AM346" s="232" t="s">
        <v>67</v>
      </c>
      <c r="AN346" s="38"/>
    </row>
    <row r="347" spans="1:40" ht="13.2" x14ac:dyDescent="0.25">
      <c r="A347" s="26"/>
      <c r="B347" s="38"/>
      <c r="C347" s="801" t="s">
        <v>787</v>
      </c>
      <c r="D347" s="802"/>
      <c r="E347" s="357">
        <v>260.48</v>
      </c>
      <c r="F347" s="357">
        <f>E347*1.023</f>
        <v>266.47104000000002</v>
      </c>
      <c r="G347" s="357">
        <f>F347*1.025</f>
        <v>273.13281599999999</v>
      </c>
      <c r="H347" s="357">
        <f>G347*1.025</f>
        <v>279.96113639999999</v>
      </c>
      <c r="I347" s="357">
        <f>H347*1.025</f>
        <v>286.96016480999998</v>
      </c>
      <c r="J347" s="357">
        <f>I347*1.025</f>
        <v>294.13416893024993</v>
      </c>
      <c r="K347" s="357"/>
      <c r="L347" s="611"/>
      <c r="M347" s="45"/>
      <c r="N347" s="632">
        <f t="shared" ref="N347:N366" si="152">IF(F347=0,"",IF(E347=0,"",F347-E347))</f>
        <v>5.9910399999999981</v>
      </c>
      <c r="O347" s="633">
        <f t="shared" ref="O347:O366" si="153">IF(N347="","",N347/E347)</f>
        <v>2.2999999999999993E-2</v>
      </c>
      <c r="P347" s="632">
        <f>IF(G347=0,"",IF(F347=0,"",G347-F347))</f>
        <v>6.6617759999999748</v>
      </c>
      <c r="Q347" s="634">
        <f t="shared" ref="Q347:Q366" si="154">IF(P347="","",P347/F347)</f>
        <v>2.4999999999999904E-2</v>
      </c>
      <c r="R347" s="635">
        <f>IF(P347="","",P347+N347)</f>
        <v>12.652815999999973</v>
      </c>
      <c r="S347" s="633">
        <f t="shared" ref="S347:S366" si="155">IF(R347="","",R347/E347)</f>
        <v>4.8574999999999896E-2</v>
      </c>
      <c r="T347" s="632">
        <f>IF(H347=0,"",IF(G347=0,"",H347-G347))</f>
        <v>6.8283203999999955</v>
      </c>
      <c r="U347" s="634">
        <f t="shared" ref="U347:U366" si="156">IF(T347="","",T347/G347)</f>
        <v>2.4999999999999984E-2</v>
      </c>
      <c r="V347" s="635">
        <f>IF(T347="","",T347+R347)</f>
        <v>19.481136399999968</v>
      </c>
      <c r="W347" s="633">
        <f t="shared" ref="W347:W366" si="157">IF(V347="","",V347/E347)</f>
        <v>7.478937499999988E-2</v>
      </c>
      <c r="X347" s="632">
        <f>IF(I347=0,"",IF(H347=0,"",I347-H347))</f>
        <v>6.999028409999994</v>
      </c>
      <c r="Y347" s="636">
        <f t="shared" ref="Y347:Y366" si="158">IF(X347="","",X347/H347)</f>
        <v>2.4999999999999981E-2</v>
      </c>
      <c r="Z347" s="637">
        <f>IF(X347="","",X347+V347)</f>
        <v>26.480164809999962</v>
      </c>
      <c r="AA347" s="633">
        <f t="shared" ref="AA347:AA366" si="159">IF(Z347="","",Z347/E347)</f>
        <v>0.10165910937499985</v>
      </c>
      <c r="AB347" s="632">
        <f>IF(J347=0,"",IF(I347=0,"",J347-I347))</f>
        <v>7.1740041202499469</v>
      </c>
      <c r="AC347" s="634">
        <f t="shared" ref="AC347:AC366" si="160">IF(AB347="","",AB347/I347)</f>
        <v>2.4999999999999818E-2</v>
      </c>
      <c r="AD347" s="635">
        <f t="shared" ref="AD347:AD366" si="161">IF(AB347="","",AB347+Z347)</f>
        <v>33.654168930249909</v>
      </c>
      <c r="AE347" s="633">
        <f t="shared" ref="AE347:AE366" si="162">IF(AD347="","",AD347/E347)</f>
        <v>0.12920058710937465</v>
      </c>
      <c r="AF347" s="632" t="str">
        <f>IF(K347=0,"",IF(J347=0,"",K347-J347))</f>
        <v/>
      </c>
      <c r="AG347" s="636" t="str">
        <f t="shared" ref="AG347:AG366" si="163">IF(AF347="","",AF347/J347)</f>
        <v/>
      </c>
      <c r="AH347" s="637" t="str">
        <f>IF(AF347="","",AF347+AD347)</f>
        <v/>
      </c>
      <c r="AI347" s="633" t="str">
        <f t="shared" ref="AI347:AI366" si="164">IF(AH347="","",AH347/E347)</f>
        <v/>
      </c>
      <c r="AJ347" s="632" t="str">
        <f>IF(L347=0,"",IF(K347=0,"",L347-K347))</f>
        <v/>
      </c>
      <c r="AK347" s="634" t="str">
        <f t="shared" ref="AK347:AK366" si="165">IF(AJ347="","",AJ347/K347)</f>
        <v/>
      </c>
      <c r="AL347" s="635" t="str">
        <f>IF(AJ347="","",AJ347+AH347)</f>
        <v/>
      </c>
      <c r="AM347" s="633" t="str">
        <f t="shared" ref="AM347:AM366" si="166">IF(AL347="","",AL347/E347)</f>
        <v/>
      </c>
      <c r="AN347" s="38"/>
    </row>
    <row r="348" spans="1:40" ht="13.2" x14ac:dyDescent="0.25">
      <c r="A348" s="26"/>
      <c r="B348" s="38"/>
      <c r="C348" s="801"/>
      <c r="D348" s="802"/>
      <c r="E348" s="357"/>
      <c r="F348" s="357"/>
      <c r="G348" s="357"/>
      <c r="H348" s="357"/>
      <c r="I348" s="357"/>
      <c r="J348" s="357"/>
      <c r="K348" s="357"/>
      <c r="L348" s="611"/>
      <c r="M348" s="45"/>
      <c r="N348" s="632" t="str">
        <f t="shared" si="152"/>
        <v/>
      </c>
      <c r="O348" s="633" t="str">
        <f t="shared" si="153"/>
        <v/>
      </c>
      <c r="P348" s="632" t="str">
        <f>IF(G348=0,"",IF(F348=0,"",G348-F348))</f>
        <v/>
      </c>
      <c r="Q348" s="634" t="str">
        <f t="shared" si="154"/>
        <v/>
      </c>
      <c r="R348" s="635" t="str">
        <f>IF(P348="","",P348+N348)</f>
        <v/>
      </c>
      <c r="S348" s="633" t="str">
        <f t="shared" si="155"/>
        <v/>
      </c>
      <c r="T348" s="632" t="str">
        <f>IF(H348=0,"",IF(G348=0,"",H348-G348))</f>
        <v/>
      </c>
      <c r="U348" s="634" t="str">
        <f t="shared" si="156"/>
        <v/>
      </c>
      <c r="V348" s="635" t="str">
        <f>IF(T348="","",T348+R348)</f>
        <v/>
      </c>
      <c r="W348" s="633" t="str">
        <f t="shared" si="157"/>
        <v/>
      </c>
      <c r="X348" s="632" t="str">
        <f>IF(I348=0,"",IF(H348=0,"",I348-H348))</f>
        <v/>
      </c>
      <c r="Y348" s="636" t="str">
        <f t="shared" si="158"/>
        <v/>
      </c>
      <c r="Z348" s="637" t="str">
        <f>IF(X348="","",X348+V348)</f>
        <v/>
      </c>
      <c r="AA348" s="633" t="str">
        <f t="shared" si="159"/>
        <v/>
      </c>
      <c r="AB348" s="632" t="str">
        <f>IF(J348=0,"",IF(I348=0,"",J348-I348))</f>
        <v/>
      </c>
      <c r="AC348" s="634" t="str">
        <f t="shared" si="160"/>
        <v/>
      </c>
      <c r="AD348" s="635" t="str">
        <f t="shared" si="161"/>
        <v/>
      </c>
      <c r="AE348" s="633" t="str">
        <f t="shared" si="162"/>
        <v/>
      </c>
      <c r="AF348" s="632" t="str">
        <f>IF(K348=0,"",IF(J348=0,"",K348-J348))</f>
        <v/>
      </c>
      <c r="AG348" s="636" t="str">
        <f t="shared" si="163"/>
        <v/>
      </c>
      <c r="AH348" s="637" t="str">
        <f>IF(AF348="","",AF348+AD348)</f>
        <v/>
      </c>
      <c r="AI348" s="633" t="str">
        <f t="shared" si="164"/>
        <v/>
      </c>
      <c r="AJ348" s="632" t="str">
        <f>IF(L348=0,"",IF(K348=0,"",L348-K348))</f>
        <v/>
      </c>
      <c r="AK348" s="634" t="str">
        <f t="shared" si="165"/>
        <v/>
      </c>
      <c r="AL348" s="635" t="str">
        <f>IF(AJ348="","",AJ348+AH348)</f>
        <v/>
      </c>
      <c r="AM348" s="633" t="str">
        <f t="shared" si="166"/>
        <v/>
      </c>
      <c r="AN348" s="38"/>
    </row>
    <row r="349" spans="1:40" ht="13.2" x14ac:dyDescent="0.25">
      <c r="A349" s="26"/>
      <c r="B349" s="38"/>
      <c r="C349" s="801"/>
      <c r="D349" s="802"/>
      <c r="E349" s="357"/>
      <c r="F349" s="357"/>
      <c r="G349" s="357"/>
      <c r="H349" s="357"/>
      <c r="I349" s="357"/>
      <c r="J349" s="357"/>
      <c r="K349" s="357"/>
      <c r="L349" s="611"/>
      <c r="M349" s="45"/>
      <c r="N349" s="632" t="str">
        <f t="shared" si="152"/>
        <v/>
      </c>
      <c r="O349" s="633" t="str">
        <f t="shared" si="153"/>
        <v/>
      </c>
      <c r="P349" s="632" t="str">
        <f t="shared" ref="P349:P366" si="167">IF(G349=0,"",IF(F349=0,"",G349-F349))</f>
        <v/>
      </c>
      <c r="Q349" s="634" t="str">
        <f t="shared" si="154"/>
        <v/>
      </c>
      <c r="R349" s="635" t="str">
        <f t="shared" ref="R349:R366" si="168">IF(P349="","",P349+N349)</f>
        <v/>
      </c>
      <c r="S349" s="633" t="str">
        <f t="shared" si="155"/>
        <v/>
      </c>
      <c r="T349" s="632" t="str">
        <f t="shared" ref="T349:T366" si="169">IF(H349=0,"",IF(G349=0,"",H349-G349))</f>
        <v/>
      </c>
      <c r="U349" s="634" t="str">
        <f t="shared" si="156"/>
        <v/>
      </c>
      <c r="V349" s="635" t="str">
        <f t="shared" ref="V349:V366" si="170">IF(T349="","",T349+R349)</f>
        <v/>
      </c>
      <c r="W349" s="633" t="str">
        <f t="shared" si="157"/>
        <v/>
      </c>
      <c r="X349" s="632" t="str">
        <f t="shared" ref="X349:X366" si="171">IF(I349=0,"",IF(H349=0,"",I349-H349))</f>
        <v/>
      </c>
      <c r="Y349" s="636" t="str">
        <f t="shared" si="158"/>
        <v/>
      </c>
      <c r="Z349" s="637" t="str">
        <f t="shared" ref="Z349:Z366" si="172">IF(X349="","",X349+V349)</f>
        <v/>
      </c>
      <c r="AA349" s="633" t="str">
        <f t="shared" si="159"/>
        <v/>
      </c>
      <c r="AB349" s="632" t="str">
        <f t="shared" ref="AB349:AB366" si="173">IF(J349=0,"",IF(I349=0,"",J349-I349))</f>
        <v/>
      </c>
      <c r="AC349" s="634" t="str">
        <f t="shared" si="160"/>
        <v/>
      </c>
      <c r="AD349" s="635" t="str">
        <f t="shared" si="161"/>
        <v/>
      </c>
      <c r="AE349" s="633" t="str">
        <f t="shared" si="162"/>
        <v/>
      </c>
      <c r="AF349" s="632" t="str">
        <f t="shared" ref="AF349:AF366" si="174">IF(K349=0,"",IF(J349=0,"",K349-J349))</f>
        <v/>
      </c>
      <c r="AG349" s="636" t="str">
        <f t="shared" si="163"/>
        <v/>
      </c>
      <c r="AH349" s="637" t="str">
        <f t="shared" ref="AH349:AH366" si="175">IF(AF349="","",AF349+AD349)</f>
        <v/>
      </c>
      <c r="AI349" s="633" t="str">
        <f t="shared" si="164"/>
        <v/>
      </c>
      <c r="AJ349" s="632" t="str">
        <f t="shared" ref="AJ349:AJ366" si="176">IF(L349=0,"",IF(K349=0,"",L349-K349))</f>
        <v/>
      </c>
      <c r="AK349" s="634" t="str">
        <f t="shared" si="165"/>
        <v/>
      </c>
      <c r="AL349" s="635" t="str">
        <f t="shared" ref="AL349:AL366" si="177">IF(AJ349="","",AJ349+AH349)</f>
        <v/>
      </c>
      <c r="AM349" s="633" t="str">
        <f t="shared" si="166"/>
        <v/>
      </c>
      <c r="AN349" s="38"/>
    </row>
    <row r="350" spans="1:40" ht="13.2" x14ac:dyDescent="0.25">
      <c r="A350" s="26"/>
      <c r="B350" s="38"/>
      <c r="C350" s="801"/>
      <c r="D350" s="802"/>
      <c r="E350" s="357"/>
      <c r="F350" s="357"/>
      <c r="G350" s="357"/>
      <c r="H350" s="357"/>
      <c r="I350" s="357"/>
      <c r="J350" s="357"/>
      <c r="K350" s="357"/>
      <c r="L350" s="611"/>
      <c r="M350" s="45"/>
      <c r="N350" s="632" t="str">
        <f t="shared" si="152"/>
        <v/>
      </c>
      <c r="O350" s="633" t="str">
        <f t="shared" si="153"/>
        <v/>
      </c>
      <c r="P350" s="632" t="str">
        <f t="shared" si="167"/>
        <v/>
      </c>
      <c r="Q350" s="634" t="str">
        <f t="shared" si="154"/>
        <v/>
      </c>
      <c r="R350" s="635" t="str">
        <f t="shared" si="168"/>
        <v/>
      </c>
      <c r="S350" s="633" t="str">
        <f t="shared" si="155"/>
        <v/>
      </c>
      <c r="T350" s="632" t="str">
        <f t="shared" si="169"/>
        <v/>
      </c>
      <c r="U350" s="634" t="str">
        <f t="shared" si="156"/>
        <v/>
      </c>
      <c r="V350" s="635" t="str">
        <f t="shared" si="170"/>
        <v/>
      </c>
      <c r="W350" s="633" t="str">
        <f t="shared" si="157"/>
        <v/>
      </c>
      <c r="X350" s="632" t="str">
        <f t="shared" si="171"/>
        <v/>
      </c>
      <c r="Y350" s="636" t="str">
        <f t="shared" si="158"/>
        <v/>
      </c>
      <c r="Z350" s="637" t="str">
        <f t="shared" si="172"/>
        <v/>
      </c>
      <c r="AA350" s="633" t="str">
        <f t="shared" si="159"/>
        <v/>
      </c>
      <c r="AB350" s="632" t="str">
        <f t="shared" si="173"/>
        <v/>
      </c>
      <c r="AC350" s="634" t="str">
        <f t="shared" si="160"/>
        <v/>
      </c>
      <c r="AD350" s="635" t="str">
        <f t="shared" si="161"/>
        <v/>
      </c>
      <c r="AE350" s="633" t="str">
        <f t="shared" si="162"/>
        <v/>
      </c>
      <c r="AF350" s="632" t="str">
        <f t="shared" si="174"/>
        <v/>
      </c>
      <c r="AG350" s="636" t="str">
        <f t="shared" si="163"/>
        <v/>
      </c>
      <c r="AH350" s="637" t="str">
        <f t="shared" si="175"/>
        <v/>
      </c>
      <c r="AI350" s="633" t="str">
        <f t="shared" si="164"/>
        <v/>
      </c>
      <c r="AJ350" s="632" t="str">
        <f t="shared" si="176"/>
        <v/>
      </c>
      <c r="AK350" s="634" t="str">
        <f t="shared" si="165"/>
        <v/>
      </c>
      <c r="AL350" s="635" t="str">
        <f t="shared" si="177"/>
        <v/>
      </c>
      <c r="AM350" s="633" t="str">
        <f t="shared" si="166"/>
        <v/>
      </c>
      <c r="AN350" s="38"/>
    </row>
    <row r="351" spans="1:40" ht="13.2" x14ac:dyDescent="0.25">
      <c r="A351" s="26"/>
      <c r="B351" s="38"/>
      <c r="C351" s="801"/>
      <c r="D351" s="802"/>
      <c r="E351" s="357"/>
      <c r="F351" s="357"/>
      <c r="G351" s="357"/>
      <c r="H351" s="357"/>
      <c r="I351" s="357"/>
      <c r="J351" s="357"/>
      <c r="K351" s="357"/>
      <c r="L351" s="611"/>
      <c r="M351" s="45"/>
      <c r="N351" s="632" t="str">
        <f t="shared" si="152"/>
        <v/>
      </c>
      <c r="O351" s="633" t="str">
        <f t="shared" si="153"/>
        <v/>
      </c>
      <c r="P351" s="632" t="str">
        <f t="shared" si="167"/>
        <v/>
      </c>
      <c r="Q351" s="634" t="str">
        <f t="shared" si="154"/>
        <v/>
      </c>
      <c r="R351" s="635" t="str">
        <f t="shared" si="168"/>
        <v/>
      </c>
      <c r="S351" s="633" t="str">
        <f t="shared" si="155"/>
        <v/>
      </c>
      <c r="T351" s="632" t="str">
        <f t="shared" si="169"/>
        <v/>
      </c>
      <c r="U351" s="634" t="str">
        <f t="shared" si="156"/>
        <v/>
      </c>
      <c r="V351" s="635" t="str">
        <f t="shared" si="170"/>
        <v/>
      </c>
      <c r="W351" s="633" t="str">
        <f t="shared" si="157"/>
        <v/>
      </c>
      <c r="X351" s="632" t="str">
        <f t="shared" si="171"/>
        <v/>
      </c>
      <c r="Y351" s="636" t="str">
        <f t="shared" si="158"/>
        <v/>
      </c>
      <c r="Z351" s="637" t="str">
        <f t="shared" si="172"/>
        <v/>
      </c>
      <c r="AA351" s="633" t="str">
        <f t="shared" si="159"/>
        <v/>
      </c>
      <c r="AB351" s="632" t="str">
        <f t="shared" si="173"/>
        <v/>
      </c>
      <c r="AC351" s="634" t="str">
        <f t="shared" si="160"/>
        <v/>
      </c>
      <c r="AD351" s="635" t="str">
        <f t="shared" si="161"/>
        <v/>
      </c>
      <c r="AE351" s="633" t="str">
        <f t="shared" si="162"/>
        <v/>
      </c>
      <c r="AF351" s="632" t="str">
        <f t="shared" si="174"/>
        <v/>
      </c>
      <c r="AG351" s="636" t="str">
        <f t="shared" si="163"/>
        <v/>
      </c>
      <c r="AH351" s="637" t="str">
        <f t="shared" si="175"/>
        <v/>
      </c>
      <c r="AI351" s="633" t="str">
        <f t="shared" si="164"/>
        <v/>
      </c>
      <c r="AJ351" s="632" t="str">
        <f t="shared" si="176"/>
        <v/>
      </c>
      <c r="AK351" s="634" t="str">
        <f t="shared" si="165"/>
        <v/>
      </c>
      <c r="AL351" s="635" t="str">
        <f t="shared" si="177"/>
        <v/>
      </c>
      <c r="AM351" s="633" t="str">
        <f t="shared" si="166"/>
        <v/>
      </c>
      <c r="AN351" s="38"/>
    </row>
    <row r="352" spans="1:40" ht="13.2" x14ac:dyDescent="0.25">
      <c r="A352" s="26"/>
      <c r="B352" s="38"/>
      <c r="C352" s="801"/>
      <c r="D352" s="802"/>
      <c r="E352" s="357"/>
      <c r="F352" s="357"/>
      <c r="G352" s="357"/>
      <c r="H352" s="357"/>
      <c r="I352" s="357"/>
      <c r="J352" s="357"/>
      <c r="K352" s="357"/>
      <c r="L352" s="611"/>
      <c r="M352" s="45"/>
      <c r="N352" s="632" t="str">
        <f t="shared" si="152"/>
        <v/>
      </c>
      <c r="O352" s="633" t="str">
        <f t="shared" si="153"/>
        <v/>
      </c>
      <c r="P352" s="632" t="str">
        <f t="shared" si="167"/>
        <v/>
      </c>
      <c r="Q352" s="634" t="str">
        <f t="shared" si="154"/>
        <v/>
      </c>
      <c r="R352" s="635" t="str">
        <f t="shared" si="168"/>
        <v/>
      </c>
      <c r="S352" s="633" t="str">
        <f t="shared" si="155"/>
        <v/>
      </c>
      <c r="T352" s="632" t="str">
        <f t="shared" si="169"/>
        <v/>
      </c>
      <c r="U352" s="634" t="str">
        <f t="shared" si="156"/>
        <v/>
      </c>
      <c r="V352" s="635" t="str">
        <f t="shared" si="170"/>
        <v/>
      </c>
      <c r="W352" s="633" t="str">
        <f t="shared" si="157"/>
        <v/>
      </c>
      <c r="X352" s="632" t="str">
        <f t="shared" si="171"/>
        <v/>
      </c>
      <c r="Y352" s="636" t="str">
        <f t="shared" si="158"/>
        <v/>
      </c>
      <c r="Z352" s="637" t="str">
        <f t="shared" si="172"/>
        <v/>
      </c>
      <c r="AA352" s="633" t="str">
        <f t="shared" si="159"/>
        <v/>
      </c>
      <c r="AB352" s="632" t="str">
        <f t="shared" si="173"/>
        <v/>
      </c>
      <c r="AC352" s="634" t="str">
        <f t="shared" si="160"/>
        <v/>
      </c>
      <c r="AD352" s="635" t="str">
        <f t="shared" si="161"/>
        <v/>
      </c>
      <c r="AE352" s="633" t="str">
        <f t="shared" si="162"/>
        <v/>
      </c>
      <c r="AF352" s="632" t="str">
        <f t="shared" si="174"/>
        <v/>
      </c>
      <c r="AG352" s="636" t="str">
        <f t="shared" si="163"/>
        <v/>
      </c>
      <c r="AH352" s="637" t="str">
        <f t="shared" si="175"/>
        <v/>
      </c>
      <c r="AI352" s="633" t="str">
        <f t="shared" si="164"/>
        <v/>
      </c>
      <c r="AJ352" s="632" t="str">
        <f t="shared" si="176"/>
        <v/>
      </c>
      <c r="AK352" s="634" t="str">
        <f t="shared" si="165"/>
        <v/>
      </c>
      <c r="AL352" s="635" t="str">
        <f t="shared" si="177"/>
        <v/>
      </c>
      <c r="AM352" s="633" t="str">
        <f t="shared" si="166"/>
        <v/>
      </c>
      <c r="AN352" s="38"/>
    </row>
    <row r="353" spans="1:40" ht="13.2" x14ac:dyDescent="0.25">
      <c r="A353" s="26"/>
      <c r="B353" s="38"/>
      <c r="C353" s="801"/>
      <c r="D353" s="802"/>
      <c r="E353" s="357"/>
      <c r="F353" s="357"/>
      <c r="G353" s="357"/>
      <c r="H353" s="357"/>
      <c r="I353" s="357"/>
      <c r="J353" s="357"/>
      <c r="K353" s="357"/>
      <c r="L353" s="611"/>
      <c r="M353" s="45"/>
      <c r="N353" s="632" t="str">
        <f t="shared" si="152"/>
        <v/>
      </c>
      <c r="O353" s="633" t="str">
        <f t="shared" si="153"/>
        <v/>
      </c>
      <c r="P353" s="632" t="str">
        <f t="shared" si="167"/>
        <v/>
      </c>
      <c r="Q353" s="634" t="str">
        <f t="shared" si="154"/>
        <v/>
      </c>
      <c r="R353" s="635" t="str">
        <f t="shared" si="168"/>
        <v/>
      </c>
      <c r="S353" s="633" t="str">
        <f t="shared" si="155"/>
        <v/>
      </c>
      <c r="T353" s="632" t="str">
        <f t="shared" si="169"/>
        <v/>
      </c>
      <c r="U353" s="634" t="str">
        <f t="shared" si="156"/>
        <v/>
      </c>
      <c r="V353" s="635" t="str">
        <f t="shared" si="170"/>
        <v/>
      </c>
      <c r="W353" s="633" t="str">
        <f t="shared" si="157"/>
        <v/>
      </c>
      <c r="X353" s="632" t="str">
        <f t="shared" si="171"/>
        <v/>
      </c>
      <c r="Y353" s="636" t="str">
        <f t="shared" si="158"/>
        <v/>
      </c>
      <c r="Z353" s="637" t="str">
        <f t="shared" si="172"/>
        <v/>
      </c>
      <c r="AA353" s="633" t="str">
        <f t="shared" si="159"/>
        <v/>
      </c>
      <c r="AB353" s="632" t="str">
        <f t="shared" si="173"/>
        <v/>
      </c>
      <c r="AC353" s="634" t="str">
        <f t="shared" si="160"/>
        <v/>
      </c>
      <c r="AD353" s="635" t="str">
        <f t="shared" si="161"/>
        <v/>
      </c>
      <c r="AE353" s="633" t="str">
        <f t="shared" si="162"/>
        <v/>
      </c>
      <c r="AF353" s="632" t="str">
        <f t="shared" si="174"/>
        <v/>
      </c>
      <c r="AG353" s="636" t="str">
        <f t="shared" si="163"/>
        <v/>
      </c>
      <c r="AH353" s="637" t="str">
        <f t="shared" si="175"/>
        <v/>
      </c>
      <c r="AI353" s="633" t="str">
        <f t="shared" si="164"/>
        <v/>
      </c>
      <c r="AJ353" s="632" t="str">
        <f t="shared" si="176"/>
        <v/>
      </c>
      <c r="AK353" s="634" t="str">
        <f t="shared" si="165"/>
        <v/>
      </c>
      <c r="AL353" s="635" t="str">
        <f t="shared" si="177"/>
        <v/>
      </c>
      <c r="AM353" s="633" t="str">
        <f t="shared" si="166"/>
        <v/>
      </c>
      <c r="AN353" s="38"/>
    </row>
    <row r="354" spans="1:40" ht="13.2" x14ac:dyDescent="0.25">
      <c r="A354" s="26"/>
      <c r="B354" s="38"/>
      <c r="C354" s="801"/>
      <c r="D354" s="802"/>
      <c r="E354" s="357"/>
      <c r="F354" s="357"/>
      <c r="G354" s="357"/>
      <c r="H354" s="357"/>
      <c r="I354" s="357"/>
      <c r="J354" s="357"/>
      <c r="K354" s="357"/>
      <c r="L354" s="611"/>
      <c r="M354" s="45"/>
      <c r="N354" s="632" t="str">
        <f t="shared" si="152"/>
        <v/>
      </c>
      <c r="O354" s="633" t="str">
        <f t="shared" si="153"/>
        <v/>
      </c>
      <c r="P354" s="632" t="str">
        <f t="shared" si="167"/>
        <v/>
      </c>
      <c r="Q354" s="634" t="str">
        <f t="shared" si="154"/>
        <v/>
      </c>
      <c r="R354" s="635" t="str">
        <f t="shared" si="168"/>
        <v/>
      </c>
      <c r="S354" s="633" t="str">
        <f t="shared" si="155"/>
        <v/>
      </c>
      <c r="T354" s="632" t="str">
        <f t="shared" si="169"/>
        <v/>
      </c>
      <c r="U354" s="634" t="str">
        <f t="shared" si="156"/>
        <v/>
      </c>
      <c r="V354" s="635" t="str">
        <f t="shared" si="170"/>
        <v/>
      </c>
      <c r="W354" s="633" t="str">
        <f t="shared" si="157"/>
        <v/>
      </c>
      <c r="X354" s="632" t="str">
        <f t="shared" si="171"/>
        <v/>
      </c>
      <c r="Y354" s="636" t="str">
        <f t="shared" si="158"/>
        <v/>
      </c>
      <c r="Z354" s="637" t="str">
        <f t="shared" si="172"/>
        <v/>
      </c>
      <c r="AA354" s="633" t="str">
        <f t="shared" si="159"/>
        <v/>
      </c>
      <c r="AB354" s="632" t="str">
        <f t="shared" si="173"/>
        <v/>
      </c>
      <c r="AC354" s="634" t="str">
        <f t="shared" si="160"/>
        <v/>
      </c>
      <c r="AD354" s="635" t="str">
        <f t="shared" si="161"/>
        <v/>
      </c>
      <c r="AE354" s="633" t="str">
        <f t="shared" si="162"/>
        <v/>
      </c>
      <c r="AF354" s="632" t="str">
        <f t="shared" si="174"/>
        <v/>
      </c>
      <c r="AG354" s="636" t="str">
        <f t="shared" si="163"/>
        <v/>
      </c>
      <c r="AH354" s="637" t="str">
        <f t="shared" si="175"/>
        <v/>
      </c>
      <c r="AI354" s="633" t="str">
        <f t="shared" si="164"/>
        <v/>
      </c>
      <c r="AJ354" s="632" t="str">
        <f t="shared" si="176"/>
        <v/>
      </c>
      <c r="AK354" s="634" t="str">
        <f t="shared" si="165"/>
        <v/>
      </c>
      <c r="AL354" s="635" t="str">
        <f t="shared" si="177"/>
        <v/>
      </c>
      <c r="AM354" s="633" t="str">
        <f t="shared" si="166"/>
        <v/>
      </c>
      <c r="AN354" s="38"/>
    </row>
    <row r="355" spans="1:40" ht="13.2" x14ac:dyDescent="0.25">
      <c r="A355" s="26"/>
      <c r="B355" s="38"/>
      <c r="C355" s="801"/>
      <c r="D355" s="802"/>
      <c r="E355" s="357"/>
      <c r="F355" s="357"/>
      <c r="G355" s="357"/>
      <c r="H355" s="357"/>
      <c r="I355" s="357"/>
      <c r="J355" s="357"/>
      <c r="K355" s="357"/>
      <c r="L355" s="611"/>
      <c r="M355" s="45"/>
      <c r="N355" s="632" t="str">
        <f t="shared" si="152"/>
        <v/>
      </c>
      <c r="O355" s="633" t="str">
        <f t="shared" si="153"/>
        <v/>
      </c>
      <c r="P355" s="632" t="str">
        <f t="shared" si="167"/>
        <v/>
      </c>
      <c r="Q355" s="634" t="str">
        <f t="shared" si="154"/>
        <v/>
      </c>
      <c r="R355" s="635" t="str">
        <f t="shared" si="168"/>
        <v/>
      </c>
      <c r="S355" s="633" t="str">
        <f t="shared" si="155"/>
        <v/>
      </c>
      <c r="T355" s="632" t="str">
        <f t="shared" si="169"/>
        <v/>
      </c>
      <c r="U355" s="634" t="str">
        <f t="shared" si="156"/>
        <v/>
      </c>
      <c r="V355" s="635" t="str">
        <f t="shared" si="170"/>
        <v/>
      </c>
      <c r="W355" s="633" t="str">
        <f t="shared" si="157"/>
        <v/>
      </c>
      <c r="X355" s="632" t="str">
        <f t="shared" si="171"/>
        <v/>
      </c>
      <c r="Y355" s="636" t="str">
        <f t="shared" si="158"/>
        <v/>
      </c>
      <c r="Z355" s="637" t="str">
        <f t="shared" si="172"/>
        <v/>
      </c>
      <c r="AA355" s="633" t="str">
        <f t="shared" si="159"/>
        <v/>
      </c>
      <c r="AB355" s="632" t="str">
        <f t="shared" si="173"/>
        <v/>
      </c>
      <c r="AC355" s="634" t="str">
        <f t="shared" si="160"/>
        <v/>
      </c>
      <c r="AD355" s="635" t="str">
        <f t="shared" si="161"/>
        <v/>
      </c>
      <c r="AE355" s="633" t="str">
        <f t="shared" si="162"/>
        <v/>
      </c>
      <c r="AF355" s="632" t="str">
        <f t="shared" si="174"/>
        <v/>
      </c>
      <c r="AG355" s="636" t="str">
        <f t="shared" si="163"/>
        <v/>
      </c>
      <c r="AH355" s="637" t="str">
        <f t="shared" si="175"/>
        <v/>
      </c>
      <c r="AI355" s="633" t="str">
        <f t="shared" si="164"/>
        <v/>
      </c>
      <c r="AJ355" s="632" t="str">
        <f t="shared" si="176"/>
        <v/>
      </c>
      <c r="AK355" s="634" t="str">
        <f t="shared" si="165"/>
        <v/>
      </c>
      <c r="AL355" s="635" t="str">
        <f t="shared" si="177"/>
        <v/>
      </c>
      <c r="AM355" s="633" t="str">
        <f t="shared" si="166"/>
        <v/>
      </c>
      <c r="AN355" s="38"/>
    </row>
    <row r="356" spans="1:40" ht="13.2" x14ac:dyDescent="0.25">
      <c r="A356" s="26"/>
      <c r="B356" s="38"/>
      <c r="C356" s="801"/>
      <c r="D356" s="802"/>
      <c r="E356" s="357"/>
      <c r="F356" s="357"/>
      <c r="G356" s="357"/>
      <c r="H356" s="357"/>
      <c r="I356" s="357"/>
      <c r="J356" s="357"/>
      <c r="K356" s="357"/>
      <c r="L356" s="611"/>
      <c r="M356" s="45"/>
      <c r="N356" s="632" t="str">
        <f t="shared" si="152"/>
        <v/>
      </c>
      <c r="O356" s="633" t="str">
        <f t="shared" si="153"/>
        <v/>
      </c>
      <c r="P356" s="632" t="str">
        <f t="shared" si="167"/>
        <v/>
      </c>
      <c r="Q356" s="634" t="str">
        <f t="shared" si="154"/>
        <v/>
      </c>
      <c r="R356" s="635" t="str">
        <f t="shared" si="168"/>
        <v/>
      </c>
      <c r="S356" s="633" t="str">
        <f t="shared" si="155"/>
        <v/>
      </c>
      <c r="T356" s="632" t="str">
        <f t="shared" si="169"/>
        <v/>
      </c>
      <c r="U356" s="634" t="str">
        <f t="shared" si="156"/>
        <v/>
      </c>
      <c r="V356" s="635" t="str">
        <f t="shared" si="170"/>
        <v/>
      </c>
      <c r="W356" s="633" t="str">
        <f t="shared" si="157"/>
        <v/>
      </c>
      <c r="X356" s="632" t="str">
        <f t="shared" si="171"/>
        <v/>
      </c>
      <c r="Y356" s="636" t="str">
        <f t="shared" si="158"/>
        <v/>
      </c>
      <c r="Z356" s="637" t="str">
        <f t="shared" si="172"/>
        <v/>
      </c>
      <c r="AA356" s="633" t="str">
        <f t="shared" si="159"/>
        <v/>
      </c>
      <c r="AB356" s="632" t="str">
        <f t="shared" si="173"/>
        <v/>
      </c>
      <c r="AC356" s="634" t="str">
        <f t="shared" si="160"/>
        <v/>
      </c>
      <c r="AD356" s="635" t="str">
        <f t="shared" si="161"/>
        <v/>
      </c>
      <c r="AE356" s="633" t="str">
        <f t="shared" si="162"/>
        <v/>
      </c>
      <c r="AF356" s="632" t="str">
        <f t="shared" si="174"/>
        <v/>
      </c>
      <c r="AG356" s="636" t="str">
        <f t="shared" si="163"/>
        <v/>
      </c>
      <c r="AH356" s="637" t="str">
        <f t="shared" si="175"/>
        <v/>
      </c>
      <c r="AI356" s="633" t="str">
        <f t="shared" si="164"/>
        <v/>
      </c>
      <c r="AJ356" s="632" t="str">
        <f t="shared" si="176"/>
        <v/>
      </c>
      <c r="AK356" s="634" t="str">
        <f t="shared" si="165"/>
        <v/>
      </c>
      <c r="AL356" s="635" t="str">
        <f t="shared" si="177"/>
        <v/>
      </c>
      <c r="AM356" s="633" t="str">
        <f t="shared" si="166"/>
        <v/>
      </c>
      <c r="AN356" s="38"/>
    </row>
    <row r="357" spans="1:40" ht="13.2" x14ac:dyDescent="0.25">
      <c r="A357" s="26"/>
      <c r="B357" s="38"/>
      <c r="C357" s="801"/>
      <c r="D357" s="802"/>
      <c r="E357" s="357"/>
      <c r="F357" s="357"/>
      <c r="G357" s="357"/>
      <c r="H357" s="357"/>
      <c r="I357" s="357"/>
      <c r="J357" s="357"/>
      <c r="K357" s="357"/>
      <c r="L357" s="611"/>
      <c r="M357" s="45"/>
      <c r="N357" s="632" t="str">
        <f t="shared" si="152"/>
        <v/>
      </c>
      <c r="O357" s="633" t="str">
        <f t="shared" si="153"/>
        <v/>
      </c>
      <c r="P357" s="632" t="str">
        <f t="shared" si="167"/>
        <v/>
      </c>
      <c r="Q357" s="634" t="str">
        <f t="shared" si="154"/>
        <v/>
      </c>
      <c r="R357" s="635" t="str">
        <f t="shared" si="168"/>
        <v/>
      </c>
      <c r="S357" s="633" t="str">
        <f t="shared" si="155"/>
        <v/>
      </c>
      <c r="T357" s="632" t="str">
        <f t="shared" si="169"/>
        <v/>
      </c>
      <c r="U357" s="634" t="str">
        <f t="shared" si="156"/>
        <v/>
      </c>
      <c r="V357" s="635" t="str">
        <f t="shared" si="170"/>
        <v/>
      </c>
      <c r="W357" s="633" t="str">
        <f t="shared" si="157"/>
        <v/>
      </c>
      <c r="X357" s="632" t="str">
        <f t="shared" si="171"/>
        <v/>
      </c>
      <c r="Y357" s="636" t="str">
        <f t="shared" si="158"/>
        <v/>
      </c>
      <c r="Z357" s="637" t="str">
        <f t="shared" si="172"/>
        <v/>
      </c>
      <c r="AA357" s="633" t="str">
        <f t="shared" si="159"/>
        <v/>
      </c>
      <c r="AB357" s="632" t="str">
        <f t="shared" si="173"/>
        <v/>
      </c>
      <c r="AC357" s="634" t="str">
        <f t="shared" si="160"/>
        <v/>
      </c>
      <c r="AD357" s="635" t="str">
        <f t="shared" si="161"/>
        <v/>
      </c>
      <c r="AE357" s="633" t="str">
        <f t="shared" si="162"/>
        <v/>
      </c>
      <c r="AF357" s="632" t="str">
        <f t="shared" si="174"/>
        <v/>
      </c>
      <c r="AG357" s="636" t="str">
        <f t="shared" si="163"/>
        <v/>
      </c>
      <c r="AH357" s="637" t="str">
        <f t="shared" si="175"/>
        <v/>
      </c>
      <c r="AI357" s="633" t="str">
        <f t="shared" si="164"/>
        <v/>
      </c>
      <c r="AJ357" s="632" t="str">
        <f t="shared" si="176"/>
        <v/>
      </c>
      <c r="AK357" s="634" t="str">
        <f t="shared" si="165"/>
        <v/>
      </c>
      <c r="AL357" s="635" t="str">
        <f t="shared" si="177"/>
        <v/>
      </c>
      <c r="AM357" s="633" t="str">
        <f t="shared" si="166"/>
        <v/>
      </c>
      <c r="AN357" s="38"/>
    </row>
    <row r="358" spans="1:40" ht="13.2" x14ac:dyDescent="0.25">
      <c r="A358" s="26"/>
      <c r="B358" s="38"/>
      <c r="C358" s="801"/>
      <c r="D358" s="802"/>
      <c r="E358" s="357"/>
      <c r="F358" s="357"/>
      <c r="G358" s="357"/>
      <c r="H358" s="357"/>
      <c r="I358" s="357"/>
      <c r="J358" s="357"/>
      <c r="K358" s="357"/>
      <c r="L358" s="611"/>
      <c r="M358" s="45"/>
      <c r="N358" s="632" t="str">
        <f t="shared" si="152"/>
        <v/>
      </c>
      <c r="O358" s="633" t="str">
        <f t="shared" si="153"/>
        <v/>
      </c>
      <c r="P358" s="632" t="str">
        <f t="shared" si="167"/>
        <v/>
      </c>
      <c r="Q358" s="634" t="str">
        <f t="shared" si="154"/>
        <v/>
      </c>
      <c r="R358" s="635" t="str">
        <f t="shared" si="168"/>
        <v/>
      </c>
      <c r="S358" s="633" t="str">
        <f t="shared" si="155"/>
        <v/>
      </c>
      <c r="T358" s="632" t="str">
        <f t="shared" si="169"/>
        <v/>
      </c>
      <c r="U358" s="634" t="str">
        <f t="shared" si="156"/>
        <v/>
      </c>
      <c r="V358" s="635" t="str">
        <f t="shared" si="170"/>
        <v/>
      </c>
      <c r="W358" s="633" t="str">
        <f t="shared" si="157"/>
        <v/>
      </c>
      <c r="X358" s="632" t="str">
        <f t="shared" si="171"/>
        <v/>
      </c>
      <c r="Y358" s="636" t="str">
        <f t="shared" si="158"/>
        <v/>
      </c>
      <c r="Z358" s="637" t="str">
        <f t="shared" si="172"/>
        <v/>
      </c>
      <c r="AA358" s="633" t="str">
        <f t="shared" si="159"/>
        <v/>
      </c>
      <c r="AB358" s="632" t="str">
        <f t="shared" si="173"/>
        <v/>
      </c>
      <c r="AC358" s="634" t="str">
        <f t="shared" si="160"/>
        <v/>
      </c>
      <c r="AD358" s="635" t="str">
        <f t="shared" si="161"/>
        <v/>
      </c>
      <c r="AE358" s="633" t="str">
        <f t="shared" si="162"/>
        <v/>
      </c>
      <c r="AF358" s="632" t="str">
        <f t="shared" si="174"/>
        <v/>
      </c>
      <c r="AG358" s="636" t="str">
        <f t="shared" si="163"/>
        <v/>
      </c>
      <c r="AH358" s="637" t="str">
        <f t="shared" si="175"/>
        <v/>
      </c>
      <c r="AI358" s="633" t="str">
        <f t="shared" si="164"/>
        <v/>
      </c>
      <c r="AJ358" s="632" t="str">
        <f t="shared" si="176"/>
        <v/>
      </c>
      <c r="AK358" s="634" t="str">
        <f t="shared" si="165"/>
        <v/>
      </c>
      <c r="AL358" s="635" t="str">
        <f t="shared" si="177"/>
        <v/>
      </c>
      <c r="AM358" s="633" t="str">
        <f t="shared" si="166"/>
        <v/>
      </c>
      <c r="AN358" s="38"/>
    </row>
    <row r="359" spans="1:40" ht="13.2" x14ac:dyDescent="0.25">
      <c r="A359" s="26"/>
      <c r="B359" s="38"/>
      <c r="C359" s="801"/>
      <c r="D359" s="802"/>
      <c r="E359" s="357"/>
      <c r="F359" s="357"/>
      <c r="G359" s="357"/>
      <c r="H359" s="357"/>
      <c r="I359" s="357"/>
      <c r="J359" s="357"/>
      <c r="K359" s="357"/>
      <c r="L359" s="611"/>
      <c r="M359" s="45"/>
      <c r="N359" s="632" t="str">
        <f t="shared" si="152"/>
        <v/>
      </c>
      <c r="O359" s="633" t="str">
        <f t="shared" si="153"/>
        <v/>
      </c>
      <c r="P359" s="632" t="str">
        <f t="shared" si="167"/>
        <v/>
      </c>
      <c r="Q359" s="634" t="str">
        <f t="shared" si="154"/>
        <v/>
      </c>
      <c r="R359" s="635" t="str">
        <f t="shared" si="168"/>
        <v/>
      </c>
      <c r="S359" s="633" t="str">
        <f t="shared" si="155"/>
        <v/>
      </c>
      <c r="T359" s="632" t="str">
        <f t="shared" si="169"/>
        <v/>
      </c>
      <c r="U359" s="634" t="str">
        <f t="shared" si="156"/>
        <v/>
      </c>
      <c r="V359" s="635" t="str">
        <f t="shared" si="170"/>
        <v/>
      </c>
      <c r="W359" s="633" t="str">
        <f t="shared" si="157"/>
        <v/>
      </c>
      <c r="X359" s="632" t="str">
        <f t="shared" si="171"/>
        <v/>
      </c>
      <c r="Y359" s="636" t="str">
        <f t="shared" si="158"/>
        <v/>
      </c>
      <c r="Z359" s="637" t="str">
        <f t="shared" si="172"/>
        <v/>
      </c>
      <c r="AA359" s="633" t="str">
        <f t="shared" si="159"/>
        <v/>
      </c>
      <c r="AB359" s="632" t="str">
        <f t="shared" si="173"/>
        <v/>
      </c>
      <c r="AC359" s="634" t="str">
        <f t="shared" si="160"/>
        <v/>
      </c>
      <c r="AD359" s="635" t="str">
        <f t="shared" si="161"/>
        <v/>
      </c>
      <c r="AE359" s="633" t="str">
        <f t="shared" si="162"/>
        <v/>
      </c>
      <c r="AF359" s="632" t="str">
        <f t="shared" si="174"/>
        <v/>
      </c>
      <c r="AG359" s="636" t="str">
        <f t="shared" si="163"/>
        <v/>
      </c>
      <c r="AH359" s="637" t="str">
        <f t="shared" si="175"/>
        <v/>
      </c>
      <c r="AI359" s="633" t="str">
        <f t="shared" si="164"/>
        <v/>
      </c>
      <c r="AJ359" s="632" t="str">
        <f t="shared" si="176"/>
        <v/>
      </c>
      <c r="AK359" s="634" t="str">
        <f t="shared" si="165"/>
        <v/>
      </c>
      <c r="AL359" s="635" t="str">
        <f t="shared" si="177"/>
        <v/>
      </c>
      <c r="AM359" s="633" t="str">
        <f t="shared" si="166"/>
        <v/>
      </c>
      <c r="AN359" s="38"/>
    </row>
    <row r="360" spans="1:40" ht="13.2" x14ac:dyDescent="0.25">
      <c r="A360" s="26"/>
      <c r="B360" s="38"/>
      <c r="C360" s="801"/>
      <c r="D360" s="802"/>
      <c r="E360" s="357"/>
      <c r="F360" s="357"/>
      <c r="G360" s="357"/>
      <c r="H360" s="357"/>
      <c r="I360" s="357"/>
      <c r="J360" s="357"/>
      <c r="K360" s="357"/>
      <c r="L360" s="611"/>
      <c r="M360" s="45"/>
      <c r="N360" s="632" t="str">
        <f t="shared" si="152"/>
        <v/>
      </c>
      <c r="O360" s="633" t="str">
        <f t="shared" si="153"/>
        <v/>
      </c>
      <c r="P360" s="632" t="str">
        <f t="shared" si="167"/>
        <v/>
      </c>
      <c r="Q360" s="634" t="str">
        <f t="shared" si="154"/>
        <v/>
      </c>
      <c r="R360" s="635" t="str">
        <f t="shared" si="168"/>
        <v/>
      </c>
      <c r="S360" s="633" t="str">
        <f t="shared" si="155"/>
        <v/>
      </c>
      <c r="T360" s="632" t="str">
        <f t="shared" si="169"/>
        <v/>
      </c>
      <c r="U360" s="634" t="str">
        <f t="shared" si="156"/>
        <v/>
      </c>
      <c r="V360" s="635" t="str">
        <f t="shared" si="170"/>
        <v/>
      </c>
      <c r="W360" s="633" t="str">
        <f t="shared" si="157"/>
        <v/>
      </c>
      <c r="X360" s="632" t="str">
        <f t="shared" si="171"/>
        <v/>
      </c>
      <c r="Y360" s="636" t="str">
        <f t="shared" si="158"/>
        <v/>
      </c>
      <c r="Z360" s="637" t="str">
        <f t="shared" si="172"/>
        <v/>
      </c>
      <c r="AA360" s="633" t="str">
        <f t="shared" si="159"/>
        <v/>
      </c>
      <c r="AB360" s="632" t="str">
        <f t="shared" si="173"/>
        <v/>
      </c>
      <c r="AC360" s="634" t="str">
        <f t="shared" si="160"/>
        <v/>
      </c>
      <c r="AD360" s="635" t="str">
        <f t="shared" si="161"/>
        <v/>
      </c>
      <c r="AE360" s="633" t="str">
        <f t="shared" si="162"/>
        <v/>
      </c>
      <c r="AF360" s="632" t="str">
        <f t="shared" si="174"/>
        <v/>
      </c>
      <c r="AG360" s="636" t="str">
        <f t="shared" si="163"/>
        <v/>
      </c>
      <c r="AH360" s="637" t="str">
        <f t="shared" si="175"/>
        <v/>
      </c>
      <c r="AI360" s="633" t="str">
        <f t="shared" si="164"/>
        <v/>
      </c>
      <c r="AJ360" s="632" t="str">
        <f t="shared" si="176"/>
        <v/>
      </c>
      <c r="AK360" s="634" t="str">
        <f t="shared" si="165"/>
        <v/>
      </c>
      <c r="AL360" s="635" t="str">
        <f t="shared" si="177"/>
        <v/>
      </c>
      <c r="AM360" s="633" t="str">
        <f t="shared" si="166"/>
        <v/>
      </c>
      <c r="AN360" s="38"/>
    </row>
    <row r="361" spans="1:40" ht="13.2" x14ac:dyDescent="0.25">
      <c r="A361" s="26"/>
      <c r="B361" s="38"/>
      <c r="C361" s="801"/>
      <c r="D361" s="802"/>
      <c r="E361" s="357"/>
      <c r="F361" s="357"/>
      <c r="G361" s="357"/>
      <c r="H361" s="357"/>
      <c r="I361" s="357"/>
      <c r="J361" s="357"/>
      <c r="K361" s="357"/>
      <c r="L361" s="611"/>
      <c r="M361" s="45"/>
      <c r="N361" s="632" t="str">
        <f t="shared" si="152"/>
        <v/>
      </c>
      <c r="O361" s="633" t="str">
        <f t="shared" si="153"/>
        <v/>
      </c>
      <c r="P361" s="632" t="str">
        <f t="shared" si="167"/>
        <v/>
      </c>
      <c r="Q361" s="634" t="str">
        <f t="shared" si="154"/>
        <v/>
      </c>
      <c r="R361" s="635" t="str">
        <f t="shared" si="168"/>
        <v/>
      </c>
      <c r="S361" s="633" t="str">
        <f t="shared" si="155"/>
        <v/>
      </c>
      <c r="T361" s="632" t="str">
        <f t="shared" si="169"/>
        <v/>
      </c>
      <c r="U361" s="634" t="str">
        <f t="shared" si="156"/>
        <v/>
      </c>
      <c r="V361" s="635" t="str">
        <f t="shared" si="170"/>
        <v/>
      </c>
      <c r="W361" s="633" t="str">
        <f t="shared" si="157"/>
        <v/>
      </c>
      <c r="X361" s="632" t="str">
        <f t="shared" si="171"/>
        <v/>
      </c>
      <c r="Y361" s="636" t="str">
        <f t="shared" si="158"/>
        <v/>
      </c>
      <c r="Z361" s="637" t="str">
        <f t="shared" si="172"/>
        <v/>
      </c>
      <c r="AA361" s="633" t="str">
        <f t="shared" si="159"/>
        <v/>
      </c>
      <c r="AB361" s="632" t="str">
        <f t="shared" si="173"/>
        <v/>
      </c>
      <c r="AC361" s="634" t="str">
        <f t="shared" si="160"/>
        <v/>
      </c>
      <c r="AD361" s="635" t="str">
        <f t="shared" si="161"/>
        <v/>
      </c>
      <c r="AE361" s="633" t="str">
        <f t="shared" si="162"/>
        <v/>
      </c>
      <c r="AF361" s="632" t="str">
        <f t="shared" si="174"/>
        <v/>
      </c>
      <c r="AG361" s="636" t="str">
        <f t="shared" si="163"/>
        <v/>
      </c>
      <c r="AH361" s="637" t="str">
        <f t="shared" si="175"/>
        <v/>
      </c>
      <c r="AI361" s="633" t="str">
        <f t="shared" si="164"/>
        <v/>
      </c>
      <c r="AJ361" s="632" t="str">
        <f t="shared" si="176"/>
        <v/>
      </c>
      <c r="AK361" s="634" t="str">
        <f t="shared" si="165"/>
        <v/>
      </c>
      <c r="AL361" s="635" t="str">
        <f t="shared" si="177"/>
        <v/>
      </c>
      <c r="AM361" s="633" t="str">
        <f t="shared" si="166"/>
        <v/>
      </c>
      <c r="AN361" s="38"/>
    </row>
    <row r="362" spans="1:40" ht="13.2" x14ac:dyDescent="0.25">
      <c r="A362" s="26"/>
      <c r="B362" s="38"/>
      <c r="C362" s="801"/>
      <c r="D362" s="802"/>
      <c r="E362" s="357"/>
      <c r="F362" s="357"/>
      <c r="G362" s="357"/>
      <c r="H362" s="357"/>
      <c r="I362" s="357"/>
      <c r="J362" s="357"/>
      <c r="K362" s="357"/>
      <c r="L362" s="611"/>
      <c r="M362" s="45"/>
      <c r="N362" s="632" t="str">
        <f t="shared" si="152"/>
        <v/>
      </c>
      <c r="O362" s="633" t="str">
        <f t="shared" si="153"/>
        <v/>
      </c>
      <c r="P362" s="632" t="str">
        <f>IF(G362=0,"",IF(F362=0,"",G362-F362))</f>
        <v/>
      </c>
      <c r="Q362" s="634" t="str">
        <f t="shared" si="154"/>
        <v/>
      </c>
      <c r="R362" s="635" t="str">
        <f>IF(P362="","",P362+N362)</f>
        <v/>
      </c>
      <c r="S362" s="633" t="str">
        <f t="shared" si="155"/>
        <v/>
      </c>
      <c r="T362" s="632" t="str">
        <f>IF(H362=0,"",IF(G362=0,"",H362-G362))</f>
        <v/>
      </c>
      <c r="U362" s="634" t="str">
        <f t="shared" si="156"/>
        <v/>
      </c>
      <c r="V362" s="635" t="str">
        <f>IF(T362="","",T362+R362)</f>
        <v/>
      </c>
      <c r="W362" s="633" t="str">
        <f t="shared" si="157"/>
        <v/>
      </c>
      <c r="X362" s="632" t="str">
        <f>IF(I362=0,"",IF(H362=0,"",I362-H362))</f>
        <v/>
      </c>
      <c r="Y362" s="636" t="str">
        <f t="shared" si="158"/>
        <v/>
      </c>
      <c r="Z362" s="637" t="str">
        <f>IF(X362="","",X362+V362)</f>
        <v/>
      </c>
      <c r="AA362" s="633" t="str">
        <f t="shared" si="159"/>
        <v/>
      </c>
      <c r="AB362" s="632" t="str">
        <f>IF(J362=0,"",IF(I362=0,"",J362-I362))</f>
        <v/>
      </c>
      <c r="AC362" s="634" t="str">
        <f t="shared" si="160"/>
        <v/>
      </c>
      <c r="AD362" s="635" t="str">
        <f t="shared" si="161"/>
        <v/>
      </c>
      <c r="AE362" s="633" t="str">
        <f t="shared" si="162"/>
        <v/>
      </c>
      <c r="AF362" s="632" t="str">
        <f>IF(K362=0,"",IF(J362=0,"",K362-J362))</f>
        <v/>
      </c>
      <c r="AG362" s="636" t="str">
        <f t="shared" si="163"/>
        <v/>
      </c>
      <c r="AH362" s="637" t="str">
        <f>IF(AF362="","",AF362+AD362)</f>
        <v/>
      </c>
      <c r="AI362" s="633" t="str">
        <f t="shared" si="164"/>
        <v/>
      </c>
      <c r="AJ362" s="632" t="str">
        <f>IF(L362=0,"",IF(K362=0,"",L362-K362))</f>
        <v/>
      </c>
      <c r="AK362" s="634" t="str">
        <f t="shared" si="165"/>
        <v/>
      </c>
      <c r="AL362" s="635" t="str">
        <f>IF(AJ362="","",AJ362+AH362)</f>
        <v/>
      </c>
      <c r="AM362" s="633" t="str">
        <f t="shared" si="166"/>
        <v/>
      </c>
      <c r="AN362" s="38"/>
    </row>
    <row r="363" spans="1:40" ht="13.2" x14ac:dyDescent="0.25">
      <c r="A363" s="26"/>
      <c r="B363" s="38"/>
      <c r="C363" s="801"/>
      <c r="D363" s="802"/>
      <c r="E363" s="361"/>
      <c r="F363" s="361"/>
      <c r="G363" s="361"/>
      <c r="H363" s="361"/>
      <c r="I363" s="361"/>
      <c r="J363" s="361"/>
      <c r="K363" s="361"/>
      <c r="L363" s="614"/>
      <c r="M363" s="45"/>
      <c r="N363" s="632" t="str">
        <f t="shared" si="152"/>
        <v/>
      </c>
      <c r="O363" s="633" t="str">
        <f t="shared" si="153"/>
        <v/>
      </c>
      <c r="P363" s="632" t="str">
        <f t="shared" si="167"/>
        <v/>
      </c>
      <c r="Q363" s="634" t="str">
        <f t="shared" si="154"/>
        <v/>
      </c>
      <c r="R363" s="635" t="str">
        <f t="shared" si="168"/>
        <v/>
      </c>
      <c r="S363" s="633" t="str">
        <f t="shared" si="155"/>
        <v/>
      </c>
      <c r="T363" s="632" t="str">
        <f t="shared" si="169"/>
        <v/>
      </c>
      <c r="U363" s="634" t="str">
        <f t="shared" si="156"/>
        <v/>
      </c>
      <c r="V363" s="635" t="str">
        <f t="shared" si="170"/>
        <v/>
      </c>
      <c r="W363" s="633" t="str">
        <f t="shared" si="157"/>
        <v/>
      </c>
      <c r="X363" s="632" t="str">
        <f t="shared" si="171"/>
        <v/>
      </c>
      <c r="Y363" s="636" t="str">
        <f t="shared" si="158"/>
        <v/>
      </c>
      <c r="Z363" s="637" t="str">
        <f t="shared" si="172"/>
        <v/>
      </c>
      <c r="AA363" s="633" t="str">
        <f t="shared" si="159"/>
        <v/>
      </c>
      <c r="AB363" s="632" t="str">
        <f t="shared" si="173"/>
        <v/>
      </c>
      <c r="AC363" s="634" t="str">
        <f t="shared" si="160"/>
        <v/>
      </c>
      <c r="AD363" s="635" t="str">
        <f t="shared" si="161"/>
        <v/>
      </c>
      <c r="AE363" s="633" t="str">
        <f t="shared" si="162"/>
        <v/>
      </c>
      <c r="AF363" s="632" t="str">
        <f t="shared" si="174"/>
        <v/>
      </c>
      <c r="AG363" s="636" t="str">
        <f t="shared" si="163"/>
        <v/>
      </c>
      <c r="AH363" s="637" t="str">
        <f t="shared" si="175"/>
        <v/>
      </c>
      <c r="AI363" s="633" t="str">
        <f t="shared" si="164"/>
        <v/>
      </c>
      <c r="AJ363" s="632" t="str">
        <f t="shared" si="176"/>
        <v/>
      </c>
      <c r="AK363" s="634" t="str">
        <f t="shared" si="165"/>
        <v/>
      </c>
      <c r="AL363" s="635" t="str">
        <f t="shared" si="177"/>
        <v/>
      </c>
      <c r="AM363" s="633" t="str">
        <f t="shared" si="166"/>
        <v/>
      </c>
      <c r="AN363" s="38"/>
    </row>
    <row r="364" spans="1:40" ht="13.2" x14ac:dyDescent="0.25">
      <c r="A364" s="26"/>
      <c r="B364" s="38"/>
      <c r="C364" s="801"/>
      <c r="D364" s="802"/>
      <c r="E364" s="357"/>
      <c r="F364" s="357"/>
      <c r="G364" s="357"/>
      <c r="H364" s="357"/>
      <c r="I364" s="357"/>
      <c r="J364" s="357"/>
      <c r="K364" s="357"/>
      <c r="L364" s="611"/>
      <c r="M364" s="45"/>
      <c r="N364" s="632" t="str">
        <f t="shared" si="152"/>
        <v/>
      </c>
      <c r="O364" s="633" t="str">
        <f t="shared" si="153"/>
        <v/>
      </c>
      <c r="P364" s="632" t="str">
        <f t="shared" si="167"/>
        <v/>
      </c>
      <c r="Q364" s="634" t="str">
        <f t="shared" si="154"/>
        <v/>
      </c>
      <c r="R364" s="635" t="str">
        <f t="shared" si="168"/>
        <v/>
      </c>
      <c r="S364" s="633" t="str">
        <f t="shared" si="155"/>
        <v/>
      </c>
      <c r="T364" s="632" t="str">
        <f t="shared" si="169"/>
        <v/>
      </c>
      <c r="U364" s="634" t="str">
        <f t="shared" si="156"/>
        <v/>
      </c>
      <c r="V364" s="635" t="str">
        <f t="shared" si="170"/>
        <v/>
      </c>
      <c r="W364" s="633" t="str">
        <f t="shared" si="157"/>
        <v/>
      </c>
      <c r="X364" s="632" t="str">
        <f t="shared" si="171"/>
        <v/>
      </c>
      <c r="Y364" s="636" t="str">
        <f t="shared" si="158"/>
        <v/>
      </c>
      <c r="Z364" s="637" t="str">
        <f t="shared" si="172"/>
        <v/>
      </c>
      <c r="AA364" s="633" t="str">
        <f t="shared" si="159"/>
        <v/>
      </c>
      <c r="AB364" s="632" t="str">
        <f t="shared" si="173"/>
        <v/>
      </c>
      <c r="AC364" s="634" t="str">
        <f t="shared" si="160"/>
        <v/>
      </c>
      <c r="AD364" s="635" t="str">
        <f t="shared" si="161"/>
        <v/>
      </c>
      <c r="AE364" s="633" t="str">
        <f t="shared" si="162"/>
        <v/>
      </c>
      <c r="AF364" s="632" t="str">
        <f t="shared" si="174"/>
        <v/>
      </c>
      <c r="AG364" s="636" t="str">
        <f t="shared" si="163"/>
        <v/>
      </c>
      <c r="AH364" s="637" t="str">
        <f t="shared" si="175"/>
        <v/>
      </c>
      <c r="AI364" s="633" t="str">
        <f t="shared" si="164"/>
        <v/>
      </c>
      <c r="AJ364" s="632" t="str">
        <f t="shared" si="176"/>
        <v/>
      </c>
      <c r="AK364" s="634" t="str">
        <f t="shared" si="165"/>
        <v/>
      </c>
      <c r="AL364" s="635" t="str">
        <f t="shared" si="177"/>
        <v/>
      </c>
      <c r="AM364" s="633" t="str">
        <f t="shared" si="166"/>
        <v/>
      </c>
      <c r="AN364" s="38"/>
    </row>
    <row r="365" spans="1:40" ht="13.2" x14ac:dyDescent="0.25">
      <c r="A365" s="26"/>
      <c r="B365" s="38"/>
      <c r="C365" s="801"/>
      <c r="D365" s="802"/>
      <c r="E365" s="357"/>
      <c r="F365" s="357"/>
      <c r="G365" s="357"/>
      <c r="H365" s="357"/>
      <c r="I365" s="357"/>
      <c r="J365" s="357"/>
      <c r="K365" s="357"/>
      <c r="L365" s="611"/>
      <c r="M365" s="45"/>
      <c r="N365" s="632" t="str">
        <f t="shared" si="152"/>
        <v/>
      </c>
      <c r="O365" s="633" t="str">
        <f t="shared" si="153"/>
        <v/>
      </c>
      <c r="P365" s="632" t="str">
        <f t="shared" si="167"/>
        <v/>
      </c>
      <c r="Q365" s="634" t="str">
        <f t="shared" si="154"/>
        <v/>
      </c>
      <c r="R365" s="635" t="str">
        <f t="shared" si="168"/>
        <v/>
      </c>
      <c r="S365" s="633" t="str">
        <f t="shared" si="155"/>
        <v/>
      </c>
      <c r="T365" s="632" t="str">
        <f t="shared" si="169"/>
        <v/>
      </c>
      <c r="U365" s="634" t="str">
        <f t="shared" si="156"/>
        <v/>
      </c>
      <c r="V365" s="635" t="str">
        <f t="shared" si="170"/>
        <v/>
      </c>
      <c r="W365" s="633" t="str">
        <f t="shared" si="157"/>
        <v/>
      </c>
      <c r="X365" s="632" t="str">
        <f t="shared" si="171"/>
        <v/>
      </c>
      <c r="Y365" s="636" t="str">
        <f t="shared" si="158"/>
        <v/>
      </c>
      <c r="Z365" s="637" t="str">
        <f t="shared" si="172"/>
        <v/>
      </c>
      <c r="AA365" s="633" t="str">
        <f t="shared" si="159"/>
        <v/>
      </c>
      <c r="AB365" s="632" t="str">
        <f t="shared" si="173"/>
        <v/>
      </c>
      <c r="AC365" s="634" t="str">
        <f t="shared" si="160"/>
        <v/>
      </c>
      <c r="AD365" s="635" t="str">
        <f t="shared" si="161"/>
        <v/>
      </c>
      <c r="AE365" s="633" t="str">
        <f t="shared" si="162"/>
        <v/>
      </c>
      <c r="AF365" s="632" t="str">
        <f t="shared" si="174"/>
        <v/>
      </c>
      <c r="AG365" s="636" t="str">
        <f t="shared" si="163"/>
        <v/>
      </c>
      <c r="AH365" s="637" t="str">
        <f t="shared" si="175"/>
        <v/>
      </c>
      <c r="AI365" s="633" t="str">
        <f t="shared" si="164"/>
        <v/>
      </c>
      <c r="AJ365" s="632" t="str">
        <f t="shared" si="176"/>
        <v/>
      </c>
      <c r="AK365" s="634" t="str">
        <f t="shared" si="165"/>
        <v/>
      </c>
      <c r="AL365" s="635" t="str">
        <f t="shared" si="177"/>
        <v/>
      </c>
      <c r="AM365" s="633" t="str">
        <f t="shared" si="166"/>
        <v/>
      </c>
      <c r="AN365" s="38"/>
    </row>
    <row r="366" spans="1:40" ht="13.8" thickBot="1" x14ac:dyDescent="0.3">
      <c r="A366" s="26"/>
      <c r="B366" s="38"/>
      <c r="C366" s="810"/>
      <c r="D366" s="811"/>
      <c r="E366" s="474"/>
      <c r="F366" s="474"/>
      <c r="G366" s="474"/>
      <c r="H366" s="474"/>
      <c r="I366" s="474"/>
      <c r="J366" s="474"/>
      <c r="K366" s="474"/>
      <c r="L366" s="613"/>
      <c r="M366" s="45"/>
      <c r="N366" s="642" t="str">
        <f t="shared" si="152"/>
        <v/>
      </c>
      <c r="O366" s="646" t="str">
        <f t="shared" si="153"/>
        <v/>
      </c>
      <c r="P366" s="642" t="str">
        <f t="shared" si="167"/>
        <v/>
      </c>
      <c r="Q366" s="647" t="str">
        <f t="shared" si="154"/>
        <v/>
      </c>
      <c r="R366" s="648" t="str">
        <f t="shared" si="168"/>
        <v/>
      </c>
      <c r="S366" s="646" t="str">
        <f t="shared" si="155"/>
        <v/>
      </c>
      <c r="T366" s="642" t="str">
        <f t="shared" si="169"/>
        <v/>
      </c>
      <c r="U366" s="647" t="str">
        <f t="shared" si="156"/>
        <v/>
      </c>
      <c r="V366" s="648" t="str">
        <f t="shared" si="170"/>
        <v/>
      </c>
      <c r="W366" s="646" t="str">
        <f t="shared" si="157"/>
        <v/>
      </c>
      <c r="X366" s="642" t="str">
        <f t="shared" si="171"/>
        <v/>
      </c>
      <c r="Y366" s="649" t="str">
        <f t="shared" si="158"/>
        <v/>
      </c>
      <c r="Z366" s="650" t="str">
        <f t="shared" si="172"/>
        <v/>
      </c>
      <c r="AA366" s="646" t="str">
        <f t="shared" si="159"/>
        <v/>
      </c>
      <c r="AB366" s="642" t="str">
        <f t="shared" si="173"/>
        <v/>
      </c>
      <c r="AC366" s="647" t="str">
        <f t="shared" si="160"/>
        <v/>
      </c>
      <c r="AD366" s="648" t="str">
        <f t="shared" si="161"/>
        <v/>
      </c>
      <c r="AE366" s="646" t="str">
        <f t="shared" si="162"/>
        <v/>
      </c>
      <c r="AF366" s="642" t="str">
        <f t="shared" si="174"/>
        <v/>
      </c>
      <c r="AG366" s="649" t="str">
        <f t="shared" si="163"/>
        <v/>
      </c>
      <c r="AH366" s="650" t="str">
        <f t="shared" si="175"/>
        <v/>
      </c>
      <c r="AI366" s="646" t="str">
        <f t="shared" si="164"/>
        <v/>
      </c>
      <c r="AJ366" s="642" t="str">
        <f t="shared" si="176"/>
        <v/>
      </c>
      <c r="AK366" s="647" t="str">
        <f t="shared" si="165"/>
        <v/>
      </c>
      <c r="AL366" s="648" t="str">
        <f t="shared" si="177"/>
        <v/>
      </c>
      <c r="AM366" s="646" t="str">
        <f t="shared" si="166"/>
        <v/>
      </c>
      <c r="AN366" s="38"/>
    </row>
    <row r="367" spans="1:40" ht="12" thickTop="1" x14ac:dyDescent="0.2">
      <c r="A367" s="28"/>
      <c r="B367" s="38"/>
      <c r="C367" s="38"/>
      <c r="D367" s="38"/>
      <c r="E367" s="38"/>
      <c r="F367" s="38"/>
      <c r="G367" s="38"/>
      <c r="H367" s="38"/>
      <c r="I367" s="38"/>
      <c r="J367" s="38"/>
      <c r="K367" s="38"/>
      <c r="L367" s="38"/>
      <c r="M367" s="38"/>
      <c r="N367" s="242"/>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row>
    <row r="368" spans="1:40" x14ac:dyDescent="0.2">
      <c r="A368" s="25"/>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row>
    <row r="369" spans="1:40" ht="15.6" x14ac:dyDescent="0.3">
      <c r="A369" s="26"/>
      <c r="B369" s="38"/>
      <c r="C369" s="83" t="s">
        <v>64</v>
      </c>
      <c r="D369" s="38"/>
      <c r="E369" s="38"/>
      <c r="F369" s="38"/>
      <c r="G369" s="38"/>
      <c r="H369" s="38"/>
      <c r="I369" s="38"/>
      <c r="J369" s="38"/>
      <c r="K369" s="38"/>
      <c r="L369" s="38"/>
      <c r="M369" s="38"/>
      <c r="N369" s="83"/>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row>
    <row r="370" spans="1:40" ht="12" thickBot="1" x14ac:dyDescent="0.25">
      <c r="A370" s="26"/>
      <c r="B370" s="38"/>
      <c r="C370" s="38"/>
      <c r="D370" s="38"/>
      <c r="E370" s="38"/>
      <c r="F370" s="38"/>
      <c r="G370" s="38"/>
      <c r="H370" s="38"/>
      <c r="I370" s="38"/>
      <c r="J370" s="38"/>
      <c r="K370" s="38"/>
      <c r="L370" s="38"/>
      <c r="M370" s="38"/>
      <c r="N370" s="244"/>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row>
    <row r="371" spans="1:40" ht="16.8" thickTop="1" thickBot="1" x14ac:dyDescent="0.35">
      <c r="A371" s="26"/>
      <c r="B371" s="38"/>
      <c r="C371" s="38"/>
      <c r="D371" s="38"/>
      <c r="E371" s="38"/>
      <c r="F371" s="807" t="s">
        <v>65</v>
      </c>
      <c r="G371" s="808"/>
      <c r="H371" s="808"/>
      <c r="I371" s="808"/>
      <c r="J371" s="808"/>
      <c r="K371" s="808"/>
      <c r="L371" s="809"/>
      <c r="M371" s="45"/>
      <c r="N371" s="815" t="s">
        <v>595</v>
      </c>
      <c r="O371" s="816"/>
      <c r="P371" s="816"/>
      <c r="Q371" s="816"/>
      <c r="R371" s="816"/>
      <c r="S371" s="816"/>
      <c r="T371" s="816"/>
      <c r="U371" s="816"/>
      <c r="V371" s="816"/>
      <c r="W371" s="816"/>
      <c r="X371" s="816"/>
      <c r="Y371" s="816"/>
      <c r="Z371" s="816"/>
      <c r="AA371" s="816"/>
      <c r="AB371" s="816"/>
      <c r="AC371" s="816"/>
      <c r="AD371" s="816"/>
      <c r="AE371" s="816"/>
      <c r="AF371" s="816"/>
      <c r="AG371" s="816"/>
      <c r="AH371" s="816"/>
      <c r="AI371" s="816"/>
      <c r="AJ371" s="816"/>
      <c r="AK371" s="816"/>
      <c r="AL371" s="816"/>
      <c r="AM371" s="817"/>
      <c r="AN371" s="38"/>
    </row>
    <row r="372" spans="1:40" ht="39" customHeight="1" thickTop="1" x14ac:dyDescent="0.25">
      <c r="A372" s="26"/>
      <c r="B372" s="38"/>
      <c r="C372" s="803" t="s">
        <v>48</v>
      </c>
      <c r="D372" s="804"/>
      <c r="E372" s="608" t="s">
        <v>607</v>
      </c>
      <c r="F372" s="608" t="s">
        <v>49</v>
      </c>
      <c r="G372" s="608" t="s">
        <v>50</v>
      </c>
      <c r="H372" s="608" t="s">
        <v>51</v>
      </c>
      <c r="I372" s="608" t="s">
        <v>52</v>
      </c>
      <c r="J372" s="608" t="s">
        <v>53</v>
      </c>
      <c r="K372" s="608" t="s">
        <v>54</v>
      </c>
      <c r="L372" s="609" t="s">
        <v>55</v>
      </c>
      <c r="M372" s="38"/>
      <c r="N372" s="798" t="s">
        <v>56</v>
      </c>
      <c r="O372" s="800"/>
      <c r="P372" s="798" t="s">
        <v>57</v>
      </c>
      <c r="Q372" s="799"/>
      <c r="R372" s="799"/>
      <c r="S372" s="800"/>
      <c r="T372" s="798" t="s">
        <v>58</v>
      </c>
      <c r="U372" s="799"/>
      <c r="V372" s="799"/>
      <c r="W372" s="800"/>
      <c r="X372" s="795" t="s">
        <v>59</v>
      </c>
      <c r="Y372" s="796"/>
      <c r="Z372" s="796"/>
      <c r="AA372" s="796"/>
      <c r="AB372" s="795" t="s">
        <v>60</v>
      </c>
      <c r="AC372" s="796"/>
      <c r="AD372" s="796"/>
      <c r="AE372" s="797"/>
      <c r="AF372" s="795" t="s">
        <v>61</v>
      </c>
      <c r="AG372" s="796"/>
      <c r="AH372" s="796"/>
      <c r="AI372" s="797"/>
      <c r="AJ372" s="795" t="s">
        <v>62</v>
      </c>
      <c r="AK372" s="796"/>
      <c r="AL372" s="796"/>
      <c r="AM372" s="797"/>
      <c r="AN372" s="38"/>
    </row>
    <row r="373" spans="1:40" ht="13.2" x14ac:dyDescent="0.25">
      <c r="A373" s="26"/>
      <c r="B373" s="38"/>
      <c r="C373" s="610"/>
      <c r="D373" s="87"/>
      <c r="E373" s="629" t="str">
        <f>E346</f>
        <v>2017-18</v>
      </c>
      <c r="F373" s="629" t="str">
        <f t="shared" ref="F373:L373" si="178">F346</f>
        <v>2018-19</v>
      </c>
      <c r="G373" s="629" t="str">
        <f t="shared" si="178"/>
        <v>2019-20</v>
      </c>
      <c r="H373" s="629" t="str">
        <f t="shared" si="178"/>
        <v>2020-21</v>
      </c>
      <c r="I373" s="629" t="str">
        <f t="shared" si="178"/>
        <v>2021-22</v>
      </c>
      <c r="J373" s="629" t="str">
        <f t="shared" si="178"/>
        <v>2022-23</v>
      </c>
      <c r="K373" s="629" t="str">
        <f t="shared" si="178"/>
        <v>2023-24</v>
      </c>
      <c r="L373" s="652" t="str">
        <f t="shared" si="178"/>
        <v>2024-25</v>
      </c>
      <c r="M373" s="45"/>
      <c r="N373" s="235" t="s">
        <v>44</v>
      </c>
      <c r="O373" s="232" t="s">
        <v>67</v>
      </c>
      <c r="P373" s="235" t="s">
        <v>44</v>
      </c>
      <c r="Q373" s="231" t="s">
        <v>67</v>
      </c>
      <c r="R373" s="228" t="s">
        <v>45</v>
      </c>
      <c r="S373" s="232" t="s">
        <v>67</v>
      </c>
      <c r="T373" s="235" t="s">
        <v>44</v>
      </c>
      <c r="U373" s="228" t="s">
        <v>67</v>
      </c>
      <c r="V373" s="229" t="s">
        <v>45</v>
      </c>
      <c r="W373" s="232" t="s">
        <v>67</v>
      </c>
      <c r="X373" s="235" t="s">
        <v>44</v>
      </c>
      <c r="Y373" s="228" t="s">
        <v>67</v>
      </c>
      <c r="Z373" s="229" t="s">
        <v>45</v>
      </c>
      <c r="AA373" s="227" t="s">
        <v>67</v>
      </c>
      <c r="AB373" s="235" t="s">
        <v>44</v>
      </c>
      <c r="AC373" s="231" t="s">
        <v>67</v>
      </c>
      <c r="AD373" s="228" t="s">
        <v>45</v>
      </c>
      <c r="AE373" s="232" t="s">
        <v>67</v>
      </c>
      <c r="AF373" s="235" t="s">
        <v>44</v>
      </c>
      <c r="AG373" s="228" t="s">
        <v>67</v>
      </c>
      <c r="AH373" s="229" t="s">
        <v>45</v>
      </c>
      <c r="AI373" s="232" t="s">
        <v>67</v>
      </c>
      <c r="AJ373" s="235" t="s">
        <v>44</v>
      </c>
      <c r="AK373" s="231" t="s">
        <v>67</v>
      </c>
      <c r="AL373" s="228" t="s">
        <v>45</v>
      </c>
      <c r="AM373" s="232" t="s">
        <v>67</v>
      </c>
      <c r="AN373" s="38"/>
    </row>
    <row r="374" spans="1:40" ht="13.2" x14ac:dyDescent="0.25">
      <c r="A374" s="26"/>
      <c r="B374" s="38"/>
      <c r="C374" s="801" t="s">
        <v>788</v>
      </c>
      <c r="D374" s="802"/>
      <c r="E374" s="357">
        <v>886</v>
      </c>
      <c r="F374" s="357">
        <f>E374*1.023</f>
        <v>906.37799999999993</v>
      </c>
      <c r="G374" s="357">
        <f>F374*1.025</f>
        <v>929.03744999999981</v>
      </c>
      <c r="H374" s="357">
        <f>G374*1.025</f>
        <v>952.26338624999971</v>
      </c>
      <c r="I374" s="357">
        <f>H374*1.025</f>
        <v>976.06997090624964</v>
      </c>
      <c r="J374" s="357">
        <f>I374*1.025</f>
        <v>1000.4717201789058</v>
      </c>
      <c r="K374" s="357"/>
      <c r="L374" s="611"/>
      <c r="M374" s="45"/>
      <c r="N374" s="632">
        <f t="shared" ref="N374:N393" si="179">IF(F374=0,"",IF(E374=0,"",F374-E374))</f>
        <v>20.377999999999929</v>
      </c>
      <c r="O374" s="633">
        <f t="shared" ref="O374:O393" si="180">IF(N374="","",N374/E374)</f>
        <v>2.299999999999992E-2</v>
      </c>
      <c r="P374" s="632">
        <f>IF(G374=0,"",IF(F374=0,"",G374-F374))</f>
        <v>22.659449999999879</v>
      </c>
      <c r="Q374" s="634">
        <f t="shared" ref="Q374:Q393" si="181">IF(P374="","",P374/F374)</f>
        <v>2.499999999999987E-2</v>
      </c>
      <c r="R374" s="635">
        <f>IF(P374="","",P374+N374)</f>
        <v>43.037449999999808</v>
      </c>
      <c r="S374" s="633">
        <f t="shared" ref="S374:S393" si="182">IF(R374="","",R374/E374)</f>
        <v>4.8574999999999785E-2</v>
      </c>
      <c r="T374" s="632">
        <f>IF(H374=0,"",IF(G374=0,"",H374-G374))</f>
        <v>23.225936249999904</v>
      </c>
      <c r="U374" s="636">
        <f t="shared" ref="U374:U393" si="183">IF(T374="","",T374/G374)</f>
        <v>2.4999999999999901E-2</v>
      </c>
      <c r="V374" s="637">
        <f>IF(T374="","",T374+R374)</f>
        <v>66.263386249999712</v>
      </c>
      <c r="W374" s="633">
        <f t="shared" ref="W374:W393" si="184">IF(V374="","",V374/E374)</f>
        <v>7.4789374999999672E-2</v>
      </c>
      <c r="X374" s="632">
        <f>IF(I374=0,"",IF(H374=0,"",I374-H374))</f>
        <v>23.806584656249925</v>
      </c>
      <c r="Y374" s="636">
        <f t="shared" ref="Y374:Y393" si="185">IF(X374="","",X374/H374)</f>
        <v>2.4999999999999929E-2</v>
      </c>
      <c r="Z374" s="637">
        <f>IF(X374="","",X374+V374)</f>
        <v>90.069970906249637</v>
      </c>
      <c r="AA374" s="634">
        <f t="shared" ref="AA374:AA393" si="186">IF(Z374="","",Z374/E374)</f>
        <v>0.10165910937499958</v>
      </c>
      <c r="AB374" s="632">
        <f>IF(J374=0,"",IF(I374=0,"",J374-I374))</f>
        <v>24.401749272656161</v>
      </c>
      <c r="AC374" s="634">
        <f t="shared" ref="AC374:AC393" si="187">IF(AB374="","",AB374/I374)</f>
        <v>2.4999999999999918E-2</v>
      </c>
      <c r="AD374" s="635">
        <f t="shared" ref="AD374:AD393" si="188">IF(AB374="","",AB374+Z374)</f>
        <v>114.4717201789058</v>
      </c>
      <c r="AE374" s="633">
        <f t="shared" ref="AE374:AE393" si="189">IF(AD374="","",AD374/E374)</f>
        <v>0.12920058710937449</v>
      </c>
      <c r="AF374" s="632" t="str">
        <f>IF(K374=0,"",IF(J374=0,"",K374-J374))</f>
        <v/>
      </c>
      <c r="AG374" s="636" t="str">
        <f t="shared" ref="AG374:AG393" si="190">IF(AF374="","",AF374/J374)</f>
        <v/>
      </c>
      <c r="AH374" s="637" t="str">
        <f>IF(AF374="","",AF374+AD374)</f>
        <v/>
      </c>
      <c r="AI374" s="633" t="str">
        <f t="shared" ref="AI374:AI393" si="191">IF(AH374="","",AH374/E374)</f>
        <v/>
      </c>
      <c r="AJ374" s="632" t="str">
        <f>IF(L374=0,"",IF(K374=0,"",L374-K374))</f>
        <v/>
      </c>
      <c r="AK374" s="634" t="str">
        <f t="shared" ref="AK374:AK393" si="192">IF(AJ374="","",AJ374/K374)</f>
        <v/>
      </c>
      <c r="AL374" s="635" t="str">
        <f>IF(AJ374="","",AJ374+AH374)</f>
        <v/>
      </c>
      <c r="AM374" s="633" t="str">
        <f t="shared" ref="AM374:AM393" si="193">IF(AL374="","",AL374/E374)</f>
        <v/>
      </c>
      <c r="AN374" s="38"/>
    </row>
    <row r="375" spans="1:40" ht="13.2" x14ac:dyDescent="0.25">
      <c r="A375" s="26"/>
      <c r="B375" s="38"/>
      <c r="C375" s="801"/>
      <c r="D375" s="802"/>
      <c r="E375" s="357"/>
      <c r="F375" s="357"/>
      <c r="G375" s="357"/>
      <c r="H375" s="357"/>
      <c r="I375" s="357"/>
      <c r="J375" s="357"/>
      <c r="K375" s="357"/>
      <c r="L375" s="611"/>
      <c r="M375" s="45"/>
      <c r="N375" s="632" t="str">
        <f t="shared" si="179"/>
        <v/>
      </c>
      <c r="O375" s="633" t="str">
        <f t="shared" si="180"/>
        <v/>
      </c>
      <c r="P375" s="632" t="str">
        <f>IF(G375=0,"",IF(F375=0,"",G375-F375))</f>
        <v/>
      </c>
      <c r="Q375" s="634" t="str">
        <f t="shared" si="181"/>
        <v/>
      </c>
      <c r="R375" s="635" t="str">
        <f>IF(P375="","",P375+N375)</f>
        <v/>
      </c>
      <c r="S375" s="633" t="str">
        <f t="shared" si="182"/>
        <v/>
      </c>
      <c r="T375" s="632" t="str">
        <f>IF(H375=0,"",IF(G375=0,"",H375-G375))</f>
        <v/>
      </c>
      <c r="U375" s="636" t="str">
        <f t="shared" si="183"/>
        <v/>
      </c>
      <c r="V375" s="637" t="str">
        <f>IF(T375="","",T375+R375)</f>
        <v/>
      </c>
      <c r="W375" s="633" t="str">
        <f t="shared" si="184"/>
        <v/>
      </c>
      <c r="X375" s="632" t="str">
        <f>IF(I375=0,"",IF(H375=0,"",I375-H375))</f>
        <v/>
      </c>
      <c r="Y375" s="636" t="str">
        <f t="shared" si="185"/>
        <v/>
      </c>
      <c r="Z375" s="637" t="str">
        <f>IF(X375="","",X375+V375)</f>
        <v/>
      </c>
      <c r="AA375" s="634" t="str">
        <f t="shared" si="186"/>
        <v/>
      </c>
      <c r="AB375" s="632" t="str">
        <f>IF(J375=0,"",IF(I375=0,"",J375-I375))</f>
        <v/>
      </c>
      <c r="AC375" s="634" t="str">
        <f t="shared" si="187"/>
        <v/>
      </c>
      <c r="AD375" s="635" t="str">
        <f t="shared" si="188"/>
        <v/>
      </c>
      <c r="AE375" s="633" t="str">
        <f t="shared" si="189"/>
        <v/>
      </c>
      <c r="AF375" s="632" t="str">
        <f>IF(K375=0,"",IF(J375=0,"",K375-J375))</f>
        <v/>
      </c>
      <c r="AG375" s="636" t="str">
        <f t="shared" si="190"/>
        <v/>
      </c>
      <c r="AH375" s="637" t="str">
        <f>IF(AF375="","",AF375+AD375)</f>
        <v/>
      </c>
      <c r="AI375" s="633" t="str">
        <f t="shared" si="191"/>
        <v/>
      </c>
      <c r="AJ375" s="632" t="str">
        <f>IF(L375=0,"",IF(K375=0,"",L375-K375))</f>
        <v/>
      </c>
      <c r="AK375" s="634" t="str">
        <f t="shared" si="192"/>
        <v/>
      </c>
      <c r="AL375" s="635" t="str">
        <f>IF(AJ375="","",AJ375+AH375)</f>
        <v/>
      </c>
      <c r="AM375" s="633" t="str">
        <f t="shared" si="193"/>
        <v/>
      </c>
      <c r="AN375" s="38"/>
    </row>
    <row r="376" spans="1:40" ht="13.2" x14ac:dyDescent="0.25">
      <c r="A376" s="26"/>
      <c r="B376" s="38"/>
      <c r="C376" s="801"/>
      <c r="D376" s="802"/>
      <c r="E376" s="357"/>
      <c r="F376" s="357"/>
      <c r="G376" s="357"/>
      <c r="H376" s="357"/>
      <c r="I376" s="357"/>
      <c r="J376" s="357"/>
      <c r="K376" s="357"/>
      <c r="L376" s="611"/>
      <c r="M376" s="45"/>
      <c r="N376" s="632" t="str">
        <f t="shared" si="179"/>
        <v/>
      </c>
      <c r="O376" s="633" t="str">
        <f t="shared" si="180"/>
        <v/>
      </c>
      <c r="P376" s="632" t="str">
        <f t="shared" ref="P376:P393" si="194">IF(G376=0,"",IF(F376=0,"",G376-F376))</f>
        <v/>
      </c>
      <c r="Q376" s="634" t="str">
        <f t="shared" si="181"/>
        <v/>
      </c>
      <c r="R376" s="635" t="str">
        <f t="shared" ref="R376:R393" si="195">IF(P376="","",P376+N376)</f>
        <v/>
      </c>
      <c r="S376" s="633" t="str">
        <f t="shared" si="182"/>
        <v/>
      </c>
      <c r="T376" s="632" t="str">
        <f t="shared" ref="T376:T393" si="196">IF(H376=0,"",IF(G376=0,"",H376-G376))</f>
        <v/>
      </c>
      <c r="U376" s="636" t="str">
        <f t="shared" si="183"/>
        <v/>
      </c>
      <c r="V376" s="637" t="str">
        <f t="shared" ref="V376:V393" si="197">IF(T376="","",T376+R376)</f>
        <v/>
      </c>
      <c r="W376" s="633" t="str">
        <f t="shared" si="184"/>
        <v/>
      </c>
      <c r="X376" s="632" t="str">
        <f t="shared" ref="X376:X393" si="198">IF(I376=0,"",IF(H376=0,"",I376-H376))</f>
        <v/>
      </c>
      <c r="Y376" s="636" t="str">
        <f t="shared" si="185"/>
        <v/>
      </c>
      <c r="Z376" s="637" t="str">
        <f t="shared" ref="Z376:Z393" si="199">IF(X376="","",X376+V376)</f>
        <v/>
      </c>
      <c r="AA376" s="634" t="str">
        <f t="shared" si="186"/>
        <v/>
      </c>
      <c r="AB376" s="632" t="str">
        <f t="shared" ref="AB376:AB393" si="200">IF(J376=0,"",IF(I376=0,"",J376-I376))</f>
        <v/>
      </c>
      <c r="AC376" s="634" t="str">
        <f t="shared" si="187"/>
        <v/>
      </c>
      <c r="AD376" s="635" t="str">
        <f t="shared" si="188"/>
        <v/>
      </c>
      <c r="AE376" s="633" t="str">
        <f t="shared" si="189"/>
        <v/>
      </c>
      <c r="AF376" s="632" t="str">
        <f t="shared" ref="AF376:AF393" si="201">IF(K376=0,"",IF(J376=0,"",K376-J376))</f>
        <v/>
      </c>
      <c r="AG376" s="636" t="str">
        <f t="shared" si="190"/>
        <v/>
      </c>
      <c r="AH376" s="637" t="str">
        <f t="shared" ref="AH376:AH393" si="202">IF(AF376="","",AF376+AD376)</f>
        <v/>
      </c>
      <c r="AI376" s="633" t="str">
        <f t="shared" si="191"/>
        <v/>
      </c>
      <c r="AJ376" s="632" t="str">
        <f t="shared" ref="AJ376:AJ393" si="203">IF(L376=0,"",IF(K376=0,"",L376-K376))</f>
        <v/>
      </c>
      <c r="AK376" s="634" t="str">
        <f t="shared" si="192"/>
        <v/>
      </c>
      <c r="AL376" s="635" t="str">
        <f t="shared" ref="AL376:AL393" si="204">IF(AJ376="","",AJ376+AH376)</f>
        <v/>
      </c>
      <c r="AM376" s="633" t="str">
        <f t="shared" si="193"/>
        <v/>
      </c>
      <c r="AN376" s="38"/>
    </row>
    <row r="377" spans="1:40" ht="13.2" x14ac:dyDescent="0.25">
      <c r="A377" s="26"/>
      <c r="B377" s="38"/>
      <c r="C377" s="801"/>
      <c r="D377" s="802"/>
      <c r="E377" s="357"/>
      <c r="F377" s="357"/>
      <c r="G377" s="357"/>
      <c r="H377" s="357"/>
      <c r="I377" s="357"/>
      <c r="J377" s="357"/>
      <c r="K377" s="357"/>
      <c r="L377" s="611"/>
      <c r="M377" s="45"/>
      <c r="N377" s="632" t="str">
        <f t="shared" si="179"/>
        <v/>
      </c>
      <c r="O377" s="633" t="str">
        <f t="shared" si="180"/>
        <v/>
      </c>
      <c r="P377" s="632" t="str">
        <f t="shared" si="194"/>
        <v/>
      </c>
      <c r="Q377" s="634" t="str">
        <f t="shared" si="181"/>
        <v/>
      </c>
      <c r="R377" s="635" t="str">
        <f t="shared" si="195"/>
        <v/>
      </c>
      <c r="S377" s="633" t="str">
        <f t="shared" si="182"/>
        <v/>
      </c>
      <c r="T377" s="632" t="str">
        <f t="shared" si="196"/>
        <v/>
      </c>
      <c r="U377" s="636" t="str">
        <f t="shared" si="183"/>
        <v/>
      </c>
      <c r="V377" s="637" t="str">
        <f t="shared" si="197"/>
        <v/>
      </c>
      <c r="W377" s="633" t="str">
        <f t="shared" si="184"/>
        <v/>
      </c>
      <c r="X377" s="632" t="str">
        <f t="shared" si="198"/>
        <v/>
      </c>
      <c r="Y377" s="636" t="str">
        <f t="shared" si="185"/>
        <v/>
      </c>
      <c r="Z377" s="637" t="str">
        <f t="shared" si="199"/>
        <v/>
      </c>
      <c r="AA377" s="634" t="str">
        <f t="shared" si="186"/>
        <v/>
      </c>
      <c r="AB377" s="632" t="str">
        <f t="shared" si="200"/>
        <v/>
      </c>
      <c r="AC377" s="634" t="str">
        <f t="shared" si="187"/>
        <v/>
      </c>
      <c r="AD377" s="635" t="str">
        <f t="shared" si="188"/>
        <v/>
      </c>
      <c r="AE377" s="633" t="str">
        <f t="shared" si="189"/>
        <v/>
      </c>
      <c r="AF377" s="632" t="str">
        <f t="shared" si="201"/>
        <v/>
      </c>
      <c r="AG377" s="636" t="str">
        <f t="shared" si="190"/>
        <v/>
      </c>
      <c r="AH377" s="637" t="str">
        <f t="shared" si="202"/>
        <v/>
      </c>
      <c r="AI377" s="633" t="str">
        <f t="shared" si="191"/>
        <v/>
      </c>
      <c r="AJ377" s="632" t="str">
        <f t="shared" si="203"/>
        <v/>
      </c>
      <c r="AK377" s="634" t="str">
        <f t="shared" si="192"/>
        <v/>
      </c>
      <c r="AL377" s="635" t="str">
        <f t="shared" si="204"/>
        <v/>
      </c>
      <c r="AM377" s="633" t="str">
        <f t="shared" si="193"/>
        <v/>
      </c>
      <c r="AN377" s="38"/>
    </row>
    <row r="378" spans="1:40" ht="13.2" x14ac:dyDescent="0.25">
      <c r="A378" s="26"/>
      <c r="B378" s="38"/>
      <c r="C378" s="801"/>
      <c r="D378" s="802"/>
      <c r="E378" s="357"/>
      <c r="F378" s="357"/>
      <c r="G378" s="357"/>
      <c r="H378" s="357"/>
      <c r="I378" s="357"/>
      <c r="J378" s="357"/>
      <c r="K378" s="357"/>
      <c r="L378" s="611"/>
      <c r="M378" s="45"/>
      <c r="N378" s="632" t="str">
        <f t="shared" si="179"/>
        <v/>
      </c>
      <c r="O378" s="633" t="str">
        <f t="shared" si="180"/>
        <v/>
      </c>
      <c r="P378" s="632" t="str">
        <f t="shared" si="194"/>
        <v/>
      </c>
      <c r="Q378" s="634" t="str">
        <f t="shared" si="181"/>
        <v/>
      </c>
      <c r="R378" s="635" t="str">
        <f t="shared" si="195"/>
        <v/>
      </c>
      <c r="S378" s="633" t="str">
        <f t="shared" si="182"/>
        <v/>
      </c>
      <c r="T378" s="632" t="str">
        <f t="shared" si="196"/>
        <v/>
      </c>
      <c r="U378" s="636" t="str">
        <f t="shared" si="183"/>
        <v/>
      </c>
      <c r="V378" s="637" t="str">
        <f t="shared" si="197"/>
        <v/>
      </c>
      <c r="W378" s="633" t="str">
        <f t="shared" si="184"/>
        <v/>
      </c>
      <c r="X378" s="632" t="str">
        <f t="shared" si="198"/>
        <v/>
      </c>
      <c r="Y378" s="636" t="str">
        <f t="shared" si="185"/>
        <v/>
      </c>
      <c r="Z378" s="637" t="str">
        <f t="shared" si="199"/>
        <v/>
      </c>
      <c r="AA378" s="634" t="str">
        <f t="shared" si="186"/>
        <v/>
      </c>
      <c r="AB378" s="632" t="str">
        <f t="shared" si="200"/>
        <v/>
      </c>
      <c r="AC378" s="634" t="str">
        <f t="shared" si="187"/>
        <v/>
      </c>
      <c r="AD378" s="635" t="str">
        <f t="shared" si="188"/>
        <v/>
      </c>
      <c r="AE378" s="633" t="str">
        <f t="shared" si="189"/>
        <v/>
      </c>
      <c r="AF378" s="632" t="str">
        <f t="shared" si="201"/>
        <v/>
      </c>
      <c r="AG378" s="636" t="str">
        <f t="shared" si="190"/>
        <v/>
      </c>
      <c r="AH378" s="637" t="str">
        <f t="shared" si="202"/>
        <v/>
      </c>
      <c r="AI378" s="633" t="str">
        <f t="shared" si="191"/>
        <v/>
      </c>
      <c r="AJ378" s="632" t="str">
        <f t="shared" si="203"/>
        <v/>
      </c>
      <c r="AK378" s="634" t="str">
        <f t="shared" si="192"/>
        <v/>
      </c>
      <c r="AL378" s="635" t="str">
        <f t="shared" si="204"/>
        <v/>
      </c>
      <c r="AM378" s="633" t="str">
        <f t="shared" si="193"/>
        <v/>
      </c>
      <c r="AN378" s="38"/>
    </row>
    <row r="379" spans="1:40" ht="13.2" x14ac:dyDescent="0.25">
      <c r="A379" s="26"/>
      <c r="B379" s="38"/>
      <c r="C379" s="801"/>
      <c r="D379" s="802"/>
      <c r="E379" s="357"/>
      <c r="F379" s="357"/>
      <c r="G379" s="357"/>
      <c r="H379" s="357"/>
      <c r="I379" s="357"/>
      <c r="J379" s="357"/>
      <c r="K379" s="357"/>
      <c r="L379" s="611"/>
      <c r="M379" s="45"/>
      <c r="N379" s="632" t="str">
        <f t="shared" si="179"/>
        <v/>
      </c>
      <c r="O379" s="633" t="str">
        <f t="shared" si="180"/>
        <v/>
      </c>
      <c r="P379" s="632" t="str">
        <f t="shared" si="194"/>
        <v/>
      </c>
      <c r="Q379" s="634" t="str">
        <f t="shared" si="181"/>
        <v/>
      </c>
      <c r="R379" s="635" t="str">
        <f t="shared" si="195"/>
        <v/>
      </c>
      <c r="S379" s="633" t="str">
        <f t="shared" si="182"/>
        <v/>
      </c>
      <c r="T379" s="632" t="str">
        <f t="shared" si="196"/>
        <v/>
      </c>
      <c r="U379" s="636" t="str">
        <f t="shared" si="183"/>
        <v/>
      </c>
      <c r="V379" s="637" t="str">
        <f t="shared" si="197"/>
        <v/>
      </c>
      <c r="W379" s="633" t="str">
        <f t="shared" si="184"/>
        <v/>
      </c>
      <c r="X379" s="632" t="str">
        <f t="shared" si="198"/>
        <v/>
      </c>
      <c r="Y379" s="636" t="str">
        <f t="shared" si="185"/>
        <v/>
      </c>
      <c r="Z379" s="637" t="str">
        <f t="shared" si="199"/>
        <v/>
      </c>
      <c r="AA379" s="634" t="str">
        <f t="shared" si="186"/>
        <v/>
      </c>
      <c r="AB379" s="632" t="str">
        <f t="shared" si="200"/>
        <v/>
      </c>
      <c r="AC379" s="634" t="str">
        <f t="shared" si="187"/>
        <v/>
      </c>
      <c r="AD379" s="635" t="str">
        <f t="shared" si="188"/>
        <v/>
      </c>
      <c r="AE379" s="633" t="str">
        <f t="shared" si="189"/>
        <v/>
      </c>
      <c r="AF379" s="632" t="str">
        <f t="shared" si="201"/>
        <v/>
      </c>
      <c r="AG379" s="636" t="str">
        <f t="shared" si="190"/>
        <v/>
      </c>
      <c r="AH379" s="637" t="str">
        <f t="shared" si="202"/>
        <v/>
      </c>
      <c r="AI379" s="633" t="str">
        <f t="shared" si="191"/>
        <v/>
      </c>
      <c r="AJ379" s="632" t="str">
        <f t="shared" si="203"/>
        <v/>
      </c>
      <c r="AK379" s="634" t="str">
        <f t="shared" si="192"/>
        <v/>
      </c>
      <c r="AL379" s="635" t="str">
        <f t="shared" si="204"/>
        <v/>
      </c>
      <c r="AM379" s="633" t="str">
        <f t="shared" si="193"/>
        <v/>
      </c>
      <c r="AN379" s="38"/>
    </row>
    <row r="380" spans="1:40" ht="13.2" x14ac:dyDescent="0.25">
      <c r="A380" s="26"/>
      <c r="B380" s="38"/>
      <c r="C380" s="801"/>
      <c r="D380" s="802"/>
      <c r="E380" s="357"/>
      <c r="F380" s="357"/>
      <c r="G380" s="357"/>
      <c r="H380" s="357"/>
      <c r="I380" s="357"/>
      <c r="J380" s="357"/>
      <c r="K380" s="357"/>
      <c r="L380" s="611"/>
      <c r="M380" s="45"/>
      <c r="N380" s="632" t="str">
        <f t="shared" si="179"/>
        <v/>
      </c>
      <c r="O380" s="633" t="str">
        <f t="shared" si="180"/>
        <v/>
      </c>
      <c r="P380" s="632" t="str">
        <f t="shared" si="194"/>
        <v/>
      </c>
      <c r="Q380" s="634" t="str">
        <f t="shared" si="181"/>
        <v/>
      </c>
      <c r="R380" s="635" t="str">
        <f t="shared" si="195"/>
        <v/>
      </c>
      <c r="S380" s="633" t="str">
        <f t="shared" si="182"/>
        <v/>
      </c>
      <c r="T380" s="632" t="str">
        <f t="shared" si="196"/>
        <v/>
      </c>
      <c r="U380" s="636" t="str">
        <f t="shared" si="183"/>
        <v/>
      </c>
      <c r="V380" s="637" t="str">
        <f t="shared" si="197"/>
        <v/>
      </c>
      <c r="W380" s="633" t="str">
        <f t="shared" si="184"/>
        <v/>
      </c>
      <c r="X380" s="632" t="str">
        <f t="shared" si="198"/>
        <v/>
      </c>
      <c r="Y380" s="636" t="str">
        <f t="shared" si="185"/>
        <v/>
      </c>
      <c r="Z380" s="637" t="str">
        <f t="shared" si="199"/>
        <v/>
      </c>
      <c r="AA380" s="634" t="str">
        <f t="shared" si="186"/>
        <v/>
      </c>
      <c r="AB380" s="632" t="str">
        <f t="shared" si="200"/>
        <v/>
      </c>
      <c r="AC380" s="634" t="str">
        <f t="shared" si="187"/>
        <v/>
      </c>
      <c r="AD380" s="635" t="str">
        <f t="shared" si="188"/>
        <v/>
      </c>
      <c r="AE380" s="633" t="str">
        <f t="shared" si="189"/>
        <v/>
      </c>
      <c r="AF380" s="632" t="str">
        <f t="shared" si="201"/>
        <v/>
      </c>
      <c r="AG380" s="636" t="str">
        <f t="shared" si="190"/>
        <v/>
      </c>
      <c r="AH380" s="637" t="str">
        <f t="shared" si="202"/>
        <v/>
      </c>
      <c r="AI380" s="633" t="str">
        <f t="shared" si="191"/>
        <v/>
      </c>
      <c r="AJ380" s="632" t="str">
        <f t="shared" si="203"/>
        <v/>
      </c>
      <c r="AK380" s="634" t="str">
        <f t="shared" si="192"/>
        <v/>
      </c>
      <c r="AL380" s="635" t="str">
        <f t="shared" si="204"/>
        <v/>
      </c>
      <c r="AM380" s="633" t="str">
        <f t="shared" si="193"/>
        <v/>
      </c>
      <c r="AN380" s="38"/>
    </row>
    <row r="381" spans="1:40" ht="13.2" x14ac:dyDescent="0.25">
      <c r="A381" s="26"/>
      <c r="B381" s="38"/>
      <c r="C381" s="801"/>
      <c r="D381" s="802"/>
      <c r="E381" s="357"/>
      <c r="F381" s="357"/>
      <c r="G381" s="357"/>
      <c r="H381" s="357"/>
      <c r="I381" s="357"/>
      <c r="J381" s="357"/>
      <c r="K381" s="357"/>
      <c r="L381" s="611"/>
      <c r="M381" s="45"/>
      <c r="N381" s="632" t="str">
        <f t="shared" si="179"/>
        <v/>
      </c>
      <c r="O381" s="633" t="str">
        <f t="shared" si="180"/>
        <v/>
      </c>
      <c r="P381" s="632" t="str">
        <f t="shared" si="194"/>
        <v/>
      </c>
      <c r="Q381" s="634" t="str">
        <f t="shared" si="181"/>
        <v/>
      </c>
      <c r="R381" s="635" t="str">
        <f t="shared" si="195"/>
        <v/>
      </c>
      <c r="S381" s="633" t="str">
        <f t="shared" si="182"/>
        <v/>
      </c>
      <c r="T381" s="632" t="str">
        <f t="shared" si="196"/>
        <v/>
      </c>
      <c r="U381" s="636" t="str">
        <f t="shared" si="183"/>
        <v/>
      </c>
      <c r="V381" s="637" t="str">
        <f t="shared" si="197"/>
        <v/>
      </c>
      <c r="W381" s="633" t="str">
        <f t="shared" si="184"/>
        <v/>
      </c>
      <c r="X381" s="632" t="str">
        <f t="shared" si="198"/>
        <v/>
      </c>
      <c r="Y381" s="636" t="str">
        <f t="shared" si="185"/>
        <v/>
      </c>
      <c r="Z381" s="637" t="str">
        <f t="shared" si="199"/>
        <v/>
      </c>
      <c r="AA381" s="634" t="str">
        <f t="shared" si="186"/>
        <v/>
      </c>
      <c r="AB381" s="632" t="str">
        <f t="shared" si="200"/>
        <v/>
      </c>
      <c r="AC381" s="634" t="str">
        <f t="shared" si="187"/>
        <v/>
      </c>
      <c r="AD381" s="635" t="str">
        <f t="shared" si="188"/>
        <v/>
      </c>
      <c r="AE381" s="633" t="str">
        <f t="shared" si="189"/>
        <v/>
      </c>
      <c r="AF381" s="632" t="str">
        <f t="shared" si="201"/>
        <v/>
      </c>
      <c r="AG381" s="636" t="str">
        <f t="shared" si="190"/>
        <v/>
      </c>
      <c r="AH381" s="637" t="str">
        <f t="shared" si="202"/>
        <v/>
      </c>
      <c r="AI381" s="633" t="str">
        <f t="shared" si="191"/>
        <v/>
      </c>
      <c r="AJ381" s="632" t="str">
        <f t="shared" si="203"/>
        <v/>
      </c>
      <c r="AK381" s="634" t="str">
        <f t="shared" si="192"/>
        <v/>
      </c>
      <c r="AL381" s="635" t="str">
        <f t="shared" si="204"/>
        <v/>
      </c>
      <c r="AM381" s="633" t="str">
        <f t="shared" si="193"/>
        <v/>
      </c>
      <c r="AN381" s="38"/>
    </row>
    <row r="382" spans="1:40" ht="13.2" x14ac:dyDescent="0.25">
      <c r="A382" s="26"/>
      <c r="B382" s="38"/>
      <c r="C382" s="801"/>
      <c r="D382" s="802"/>
      <c r="E382" s="357"/>
      <c r="F382" s="357"/>
      <c r="G382" s="357"/>
      <c r="H382" s="357"/>
      <c r="I382" s="357"/>
      <c r="J382" s="357"/>
      <c r="K382" s="357"/>
      <c r="L382" s="611"/>
      <c r="M382" s="45"/>
      <c r="N382" s="632" t="str">
        <f t="shared" si="179"/>
        <v/>
      </c>
      <c r="O382" s="633" t="str">
        <f t="shared" si="180"/>
        <v/>
      </c>
      <c r="P382" s="632" t="str">
        <f t="shared" si="194"/>
        <v/>
      </c>
      <c r="Q382" s="634" t="str">
        <f t="shared" si="181"/>
        <v/>
      </c>
      <c r="R382" s="635" t="str">
        <f t="shared" si="195"/>
        <v/>
      </c>
      <c r="S382" s="633" t="str">
        <f t="shared" si="182"/>
        <v/>
      </c>
      <c r="T382" s="632" t="str">
        <f t="shared" si="196"/>
        <v/>
      </c>
      <c r="U382" s="636" t="str">
        <f t="shared" si="183"/>
        <v/>
      </c>
      <c r="V382" s="637" t="str">
        <f t="shared" si="197"/>
        <v/>
      </c>
      <c r="W382" s="633" t="str">
        <f t="shared" si="184"/>
        <v/>
      </c>
      <c r="X382" s="632" t="str">
        <f t="shared" si="198"/>
        <v/>
      </c>
      <c r="Y382" s="636" t="str">
        <f t="shared" si="185"/>
        <v/>
      </c>
      <c r="Z382" s="637" t="str">
        <f t="shared" si="199"/>
        <v/>
      </c>
      <c r="AA382" s="634" t="str">
        <f t="shared" si="186"/>
        <v/>
      </c>
      <c r="AB382" s="632" t="str">
        <f t="shared" si="200"/>
        <v/>
      </c>
      <c r="AC382" s="634" t="str">
        <f t="shared" si="187"/>
        <v/>
      </c>
      <c r="AD382" s="635" t="str">
        <f t="shared" si="188"/>
        <v/>
      </c>
      <c r="AE382" s="633" t="str">
        <f t="shared" si="189"/>
        <v/>
      </c>
      <c r="AF382" s="632" t="str">
        <f t="shared" si="201"/>
        <v/>
      </c>
      <c r="AG382" s="636" t="str">
        <f t="shared" si="190"/>
        <v/>
      </c>
      <c r="AH382" s="637" t="str">
        <f t="shared" si="202"/>
        <v/>
      </c>
      <c r="AI382" s="633" t="str">
        <f t="shared" si="191"/>
        <v/>
      </c>
      <c r="AJ382" s="632" t="str">
        <f t="shared" si="203"/>
        <v/>
      </c>
      <c r="AK382" s="634" t="str">
        <f t="shared" si="192"/>
        <v/>
      </c>
      <c r="AL382" s="635" t="str">
        <f t="shared" si="204"/>
        <v/>
      </c>
      <c r="AM382" s="633" t="str">
        <f t="shared" si="193"/>
        <v/>
      </c>
      <c r="AN382" s="38"/>
    </row>
    <row r="383" spans="1:40" ht="13.2" x14ac:dyDescent="0.25">
      <c r="A383" s="26"/>
      <c r="B383" s="38"/>
      <c r="C383" s="801"/>
      <c r="D383" s="802"/>
      <c r="E383" s="357"/>
      <c r="F383" s="357"/>
      <c r="G383" s="357"/>
      <c r="H383" s="357"/>
      <c r="I383" s="357"/>
      <c r="J383" s="357"/>
      <c r="K383" s="357"/>
      <c r="L383" s="611"/>
      <c r="M383" s="45"/>
      <c r="N383" s="632" t="str">
        <f t="shared" si="179"/>
        <v/>
      </c>
      <c r="O383" s="633" t="str">
        <f t="shared" si="180"/>
        <v/>
      </c>
      <c r="P383" s="632" t="str">
        <f t="shared" si="194"/>
        <v/>
      </c>
      <c r="Q383" s="634" t="str">
        <f t="shared" si="181"/>
        <v/>
      </c>
      <c r="R383" s="635" t="str">
        <f t="shared" si="195"/>
        <v/>
      </c>
      <c r="S383" s="633" t="str">
        <f t="shared" si="182"/>
        <v/>
      </c>
      <c r="T383" s="632" t="str">
        <f t="shared" si="196"/>
        <v/>
      </c>
      <c r="U383" s="636" t="str">
        <f t="shared" si="183"/>
        <v/>
      </c>
      <c r="V383" s="637" t="str">
        <f t="shared" si="197"/>
        <v/>
      </c>
      <c r="W383" s="633" t="str">
        <f t="shared" si="184"/>
        <v/>
      </c>
      <c r="X383" s="632" t="str">
        <f t="shared" si="198"/>
        <v/>
      </c>
      <c r="Y383" s="636" t="str">
        <f t="shared" si="185"/>
        <v/>
      </c>
      <c r="Z383" s="637" t="str">
        <f t="shared" si="199"/>
        <v/>
      </c>
      <c r="AA383" s="634" t="str">
        <f t="shared" si="186"/>
        <v/>
      </c>
      <c r="AB383" s="632" t="str">
        <f t="shared" si="200"/>
        <v/>
      </c>
      <c r="AC383" s="634" t="str">
        <f t="shared" si="187"/>
        <v/>
      </c>
      <c r="AD383" s="635" t="str">
        <f t="shared" si="188"/>
        <v/>
      </c>
      <c r="AE383" s="633" t="str">
        <f t="shared" si="189"/>
        <v/>
      </c>
      <c r="AF383" s="632" t="str">
        <f t="shared" si="201"/>
        <v/>
      </c>
      <c r="AG383" s="636" t="str">
        <f t="shared" si="190"/>
        <v/>
      </c>
      <c r="AH383" s="637" t="str">
        <f t="shared" si="202"/>
        <v/>
      </c>
      <c r="AI383" s="633" t="str">
        <f t="shared" si="191"/>
        <v/>
      </c>
      <c r="AJ383" s="632" t="str">
        <f t="shared" si="203"/>
        <v/>
      </c>
      <c r="AK383" s="634" t="str">
        <f t="shared" si="192"/>
        <v/>
      </c>
      <c r="AL383" s="635" t="str">
        <f t="shared" si="204"/>
        <v/>
      </c>
      <c r="AM383" s="633" t="str">
        <f t="shared" si="193"/>
        <v/>
      </c>
      <c r="AN383" s="38"/>
    </row>
    <row r="384" spans="1:40" ht="13.2" x14ac:dyDescent="0.25">
      <c r="A384" s="26"/>
      <c r="B384" s="38"/>
      <c r="C384" s="801"/>
      <c r="D384" s="802"/>
      <c r="E384" s="357"/>
      <c r="F384" s="357"/>
      <c r="G384" s="357"/>
      <c r="H384" s="357"/>
      <c r="I384" s="357"/>
      <c r="J384" s="357"/>
      <c r="K384" s="357"/>
      <c r="L384" s="611"/>
      <c r="M384" s="45"/>
      <c r="N384" s="632" t="str">
        <f t="shared" si="179"/>
        <v/>
      </c>
      <c r="O384" s="633" t="str">
        <f t="shared" si="180"/>
        <v/>
      </c>
      <c r="P384" s="632" t="str">
        <f t="shared" si="194"/>
        <v/>
      </c>
      <c r="Q384" s="634" t="str">
        <f t="shared" si="181"/>
        <v/>
      </c>
      <c r="R384" s="635" t="str">
        <f t="shared" si="195"/>
        <v/>
      </c>
      <c r="S384" s="633" t="str">
        <f t="shared" si="182"/>
        <v/>
      </c>
      <c r="T384" s="632" t="str">
        <f t="shared" si="196"/>
        <v/>
      </c>
      <c r="U384" s="636" t="str">
        <f t="shared" si="183"/>
        <v/>
      </c>
      <c r="V384" s="637" t="str">
        <f t="shared" si="197"/>
        <v/>
      </c>
      <c r="W384" s="633" t="str">
        <f t="shared" si="184"/>
        <v/>
      </c>
      <c r="X384" s="632" t="str">
        <f t="shared" si="198"/>
        <v/>
      </c>
      <c r="Y384" s="636" t="str">
        <f t="shared" si="185"/>
        <v/>
      </c>
      <c r="Z384" s="637" t="str">
        <f t="shared" si="199"/>
        <v/>
      </c>
      <c r="AA384" s="634" t="str">
        <f t="shared" si="186"/>
        <v/>
      </c>
      <c r="AB384" s="632" t="str">
        <f t="shared" si="200"/>
        <v/>
      </c>
      <c r="AC384" s="634" t="str">
        <f t="shared" si="187"/>
        <v/>
      </c>
      <c r="AD384" s="635" t="str">
        <f t="shared" si="188"/>
        <v/>
      </c>
      <c r="AE384" s="633" t="str">
        <f t="shared" si="189"/>
        <v/>
      </c>
      <c r="AF384" s="632" t="str">
        <f t="shared" si="201"/>
        <v/>
      </c>
      <c r="AG384" s="636" t="str">
        <f t="shared" si="190"/>
        <v/>
      </c>
      <c r="AH384" s="637" t="str">
        <f t="shared" si="202"/>
        <v/>
      </c>
      <c r="AI384" s="633" t="str">
        <f t="shared" si="191"/>
        <v/>
      </c>
      <c r="AJ384" s="632" t="str">
        <f t="shared" si="203"/>
        <v/>
      </c>
      <c r="AK384" s="634" t="str">
        <f t="shared" si="192"/>
        <v/>
      </c>
      <c r="AL384" s="635" t="str">
        <f t="shared" si="204"/>
        <v/>
      </c>
      <c r="AM384" s="633" t="str">
        <f t="shared" si="193"/>
        <v/>
      </c>
      <c r="AN384" s="38"/>
    </row>
    <row r="385" spans="1:40" ht="13.2" x14ac:dyDescent="0.25">
      <c r="A385" s="26"/>
      <c r="B385" s="38"/>
      <c r="C385" s="801"/>
      <c r="D385" s="802"/>
      <c r="E385" s="357"/>
      <c r="F385" s="357"/>
      <c r="G385" s="357"/>
      <c r="H385" s="357"/>
      <c r="I385" s="357"/>
      <c r="J385" s="357"/>
      <c r="K385" s="357"/>
      <c r="L385" s="611"/>
      <c r="M385" s="45"/>
      <c r="N385" s="632" t="str">
        <f t="shared" si="179"/>
        <v/>
      </c>
      <c r="O385" s="633" t="str">
        <f t="shared" si="180"/>
        <v/>
      </c>
      <c r="P385" s="632" t="str">
        <f t="shared" si="194"/>
        <v/>
      </c>
      <c r="Q385" s="634" t="str">
        <f t="shared" si="181"/>
        <v/>
      </c>
      <c r="R385" s="635" t="str">
        <f t="shared" si="195"/>
        <v/>
      </c>
      <c r="S385" s="633" t="str">
        <f t="shared" si="182"/>
        <v/>
      </c>
      <c r="T385" s="632" t="str">
        <f t="shared" si="196"/>
        <v/>
      </c>
      <c r="U385" s="636" t="str">
        <f t="shared" si="183"/>
        <v/>
      </c>
      <c r="V385" s="637" t="str">
        <f t="shared" si="197"/>
        <v/>
      </c>
      <c r="W385" s="633" t="str">
        <f t="shared" si="184"/>
        <v/>
      </c>
      <c r="X385" s="632" t="str">
        <f t="shared" si="198"/>
        <v/>
      </c>
      <c r="Y385" s="636" t="str">
        <f t="shared" si="185"/>
        <v/>
      </c>
      <c r="Z385" s="637" t="str">
        <f t="shared" si="199"/>
        <v/>
      </c>
      <c r="AA385" s="634" t="str">
        <f t="shared" si="186"/>
        <v/>
      </c>
      <c r="AB385" s="632" t="str">
        <f t="shared" si="200"/>
        <v/>
      </c>
      <c r="AC385" s="634" t="str">
        <f t="shared" si="187"/>
        <v/>
      </c>
      <c r="AD385" s="635" t="str">
        <f t="shared" si="188"/>
        <v/>
      </c>
      <c r="AE385" s="633" t="str">
        <f t="shared" si="189"/>
        <v/>
      </c>
      <c r="AF385" s="632" t="str">
        <f t="shared" si="201"/>
        <v/>
      </c>
      <c r="AG385" s="636" t="str">
        <f t="shared" si="190"/>
        <v/>
      </c>
      <c r="AH385" s="637" t="str">
        <f t="shared" si="202"/>
        <v/>
      </c>
      <c r="AI385" s="633" t="str">
        <f t="shared" si="191"/>
        <v/>
      </c>
      <c r="AJ385" s="632" t="str">
        <f t="shared" si="203"/>
        <v/>
      </c>
      <c r="AK385" s="634" t="str">
        <f t="shared" si="192"/>
        <v/>
      </c>
      <c r="AL385" s="635" t="str">
        <f t="shared" si="204"/>
        <v/>
      </c>
      <c r="AM385" s="633" t="str">
        <f t="shared" si="193"/>
        <v/>
      </c>
      <c r="AN385" s="38"/>
    </row>
    <row r="386" spans="1:40" ht="13.2" x14ac:dyDescent="0.25">
      <c r="A386" s="26"/>
      <c r="B386" s="38"/>
      <c r="C386" s="801"/>
      <c r="D386" s="802"/>
      <c r="E386" s="357"/>
      <c r="F386" s="357"/>
      <c r="G386" s="357"/>
      <c r="H386" s="357"/>
      <c r="I386" s="357"/>
      <c r="J386" s="357"/>
      <c r="K386" s="357"/>
      <c r="L386" s="611"/>
      <c r="M386" s="45"/>
      <c r="N386" s="632" t="str">
        <f t="shared" si="179"/>
        <v/>
      </c>
      <c r="O386" s="633" t="str">
        <f t="shared" si="180"/>
        <v/>
      </c>
      <c r="P386" s="632" t="str">
        <f t="shared" si="194"/>
        <v/>
      </c>
      <c r="Q386" s="634" t="str">
        <f t="shared" si="181"/>
        <v/>
      </c>
      <c r="R386" s="635" t="str">
        <f t="shared" si="195"/>
        <v/>
      </c>
      <c r="S386" s="633" t="str">
        <f t="shared" si="182"/>
        <v/>
      </c>
      <c r="T386" s="632" t="str">
        <f t="shared" si="196"/>
        <v/>
      </c>
      <c r="U386" s="636" t="str">
        <f t="shared" si="183"/>
        <v/>
      </c>
      <c r="V386" s="637" t="str">
        <f t="shared" si="197"/>
        <v/>
      </c>
      <c r="W386" s="633" t="str">
        <f t="shared" si="184"/>
        <v/>
      </c>
      <c r="X386" s="632" t="str">
        <f t="shared" si="198"/>
        <v/>
      </c>
      <c r="Y386" s="636" t="str">
        <f t="shared" si="185"/>
        <v/>
      </c>
      <c r="Z386" s="637" t="str">
        <f t="shared" si="199"/>
        <v/>
      </c>
      <c r="AA386" s="634" t="str">
        <f t="shared" si="186"/>
        <v/>
      </c>
      <c r="AB386" s="632" t="str">
        <f t="shared" si="200"/>
        <v/>
      </c>
      <c r="AC386" s="634" t="str">
        <f t="shared" si="187"/>
        <v/>
      </c>
      <c r="AD386" s="635" t="str">
        <f t="shared" si="188"/>
        <v/>
      </c>
      <c r="AE386" s="633" t="str">
        <f t="shared" si="189"/>
        <v/>
      </c>
      <c r="AF386" s="632" t="str">
        <f t="shared" si="201"/>
        <v/>
      </c>
      <c r="AG386" s="636" t="str">
        <f t="shared" si="190"/>
        <v/>
      </c>
      <c r="AH386" s="637" t="str">
        <f t="shared" si="202"/>
        <v/>
      </c>
      <c r="AI386" s="633" t="str">
        <f t="shared" si="191"/>
        <v/>
      </c>
      <c r="AJ386" s="632" t="str">
        <f t="shared" si="203"/>
        <v/>
      </c>
      <c r="AK386" s="634" t="str">
        <f t="shared" si="192"/>
        <v/>
      </c>
      <c r="AL386" s="635" t="str">
        <f t="shared" si="204"/>
        <v/>
      </c>
      <c r="AM386" s="633" t="str">
        <f t="shared" si="193"/>
        <v/>
      </c>
      <c r="AN386" s="38"/>
    </row>
    <row r="387" spans="1:40" ht="13.2" x14ac:dyDescent="0.25">
      <c r="A387" s="26"/>
      <c r="B387" s="38"/>
      <c r="C387" s="801"/>
      <c r="D387" s="802"/>
      <c r="E387" s="357"/>
      <c r="F387" s="357"/>
      <c r="G387" s="357"/>
      <c r="H387" s="357"/>
      <c r="I387" s="357"/>
      <c r="J387" s="357"/>
      <c r="K387" s="357"/>
      <c r="L387" s="611"/>
      <c r="M387" s="45"/>
      <c r="N387" s="632" t="str">
        <f t="shared" si="179"/>
        <v/>
      </c>
      <c r="O387" s="633" t="str">
        <f t="shared" si="180"/>
        <v/>
      </c>
      <c r="P387" s="632" t="str">
        <f t="shared" si="194"/>
        <v/>
      </c>
      <c r="Q387" s="634" t="str">
        <f t="shared" si="181"/>
        <v/>
      </c>
      <c r="R387" s="635" t="str">
        <f t="shared" si="195"/>
        <v/>
      </c>
      <c r="S387" s="633" t="str">
        <f t="shared" si="182"/>
        <v/>
      </c>
      <c r="T387" s="632" t="str">
        <f t="shared" si="196"/>
        <v/>
      </c>
      <c r="U387" s="636" t="str">
        <f t="shared" si="183"/>
        <v/>
      </c>
      <c r="V387" s="637" t="str">
        <f t="shared" si="197"/>
        <v/>
      </c>
      <c r="W387" s="633" t="str">
        <f t="shared" si="184"/>
        <v/>
      </c>
      <c r="X387" s="632" t="str">
        <f t="shared" si="198"/>
        <v/>
      </c>
      <c r="Y387" s="636" t="str">
        <f t="shared" si="185"/>
        <v/>
      </c>
      <c r="Z387" s="637" t="str">
        <f t="shared" si="199"/>
        <v/>
      </c>
      <c r="AA387" s="634" t="str">
        <f t="shared" si="186"/>
        <v/>
      </c>
      <c r="AB387" s="632" t="str">
        <f t="shared" si="200"/>
        <v/>
      </c>
      <c r="AC387" s="634" t="str">
        <f t="shared" si="187"/>
        <v/>
      </c>
      <c r="AD387" s="635" t="str">
        <f t="shared" si="188"/>
        <v/>
      </c>
      <c r="AE387" s="633" t="str">
        <f t="shared" si="189"/>
        <v/>
      </c>
      <c r="AF387" s="632" t="str">
        <f t="shared" si="201"/>
        <v/>
      </c>
      <c r="AG387" s="636" t="str">
        <f t="shared" si="190"/>
        <v/>
      </c>
      <c r="AH387" s="637" t="str">
        <f t="shared" si="202"/>
        <v/>
      </c>
      <c r="AI387" s="633" t="str">
        <f t="shared" si="191"/>
        <v/>
      </c>
      <c r="AJ387" s="632" t="str">
        <f t="shared" si="203"/>
        <v/>
      </c>
      <c r="AK387" s="634" t="str">
        <f t="shared" si="192"/>
        <v/>
      </c>
      <c r="AL387" s="635" t="str">
        <f t="shared" si="204"/>
        <v/>
      </c>
      <c r="AM387" s="633" t="str">
        <f t="shared" si="193"/>
        <v/>
      </c>
      <c r="AN387" s="38"/>
    </row>
    <row r="388" spans="1:40" ht="13.2" x14ac:dyDescent="0.25">
      <c r="A388" s="26"/>
      <c r="B388" s="38"/>
      <c r="C388" s="801"/>
      <c r="D388" s="802"/>
      <c r="E388" s="357"/>
      <c r="F388" s="357"/>
      <c r="G388" s="357"/>
      <c r="H388" s="357"/>
      <c r="I388" s="357"/>
      <c r="J388" s="357"/>
      <c r="K388" s="357"/>
      <c r="L388" s="611"/>
      <c r="M388" s="45"/>
      <c r="N388" s="632" t="str">
        <f t="shared" si="179"/>
        <v/>
      </c>
      <c r="O388" s="633" t="str">
        <f t="shared" si="180"/>
        <v/>
      </c>
      <c r="P388" s="632" t="str">
        <f t="shared" si="194"/>
        <v/>
      </c>
      <c r="Q388" s="634" t="str">
        <f t="shared" si="181"/>
        <v/>
      </c>
      <c r="R388" s="635" t="str">
        <f t="shared" si="195"/>
        <v/>
      </c>
      <c r="S388" s="633" t="str">
        <f t="shared" si="182"/>
        <v/>
      </c>
      <c r="T388" s="632" t="str">
        <f t="shared" si="196"/>
        <v/>
      </c>
      <c r="U388" s="636" t="str">
        <f t="shared" si="183"/>
        <v/>
      </c>
      <c r="V388" s="637" t="str">
        <f t="shared" si="197"/>
        <v/>
      </c>
      <c r="W388" s="633" t="str">
        <f t="shared" si="184"/>
        <v/>
      </c>
      <c r="X388" s="632" t="str">
        <f t="shared" si="198"/>
        <v/>
      </c>
      <c r="Y388" s="636" t="str">
        <f t="shared" si="185"/>
        <v/>
      </c>
      <c r="Z388" s="637" t="str">
        <f t="shared" si="199"/>
        <v/>
      </c>
      <c r="AA388" s="634" t="str">
        <f t="shared" si="186"/>
        <v/>
      </c>
      <c r="AB388" s="632" t="str">
        <f t="shared" si="200"/>
        <v/>
      </c>
      <c r="AC388" s="634" t="str">
        <f t="shared" si="187"/>
        <v/>
      </c>
      <c r="AD388" s="635" t="str">
        <f t="shared" si="188"/>
        <v/>
      </c>
      <c r="AE388" s="633" t="str">
        <f t="shared" si="189"/>
        <v/>
      </c>
      <c r="AF388" s="632" t="str">
        <f t="shared" si="201"/>
        <v/>
      </c>
      <c r="AG388" s="636" t="str">
        <f t="shared" si="190"/>
        <v/>
      </c>
      <c r="AH388" s="637" t="str">
        <f t="shared" si="202"/>
        <v/>
      </c>
      <c r="AI388" s="633" t="str">
        <f t="shared" si="191"/>
        <v/>
      </c>
      <c r="AJ388" s="632" t="str">
        <f t="shared" si="203"/>
        <v/>
      </c>
      <c r="AK388" s="634" t="str">
        <f t="shared" si="192"/>
        <v/>
      </c>
      <c r="AL388" s="635" t="str">
        <f t="shared" si="204"/>
        <v/>
      </c>
      <c r="AM388" s="633" t="str">
        <f t="shared" si="193"/>
        <v/>
      </c>
      <c r="AN388" s="38"/>
    </row>
    <row r="389" spans="1:40" ht="13.2" x14ac:dyDescent="0.25">
      <c r="A389" s="26"/>
      <c r="B389" s="38"/>
      <c r="C389" s="801"/>
      <c r="D389" s="802"/>
      <c r="E389" s="357"/>
      <c r="F389" s="357"/>
      <c r="G389" s="357"/>
      <c r="H389" s="357"/>
      <c r="I389" s="357"/>
      <c r="J389" s="357"/>
      <c r="K389" s="357"/>
      <c r="L389" s="611"/>
      <c r="M389" s="45"/>
      <c r="N389" s="632" t="str">
        <f t="shared" si="179"/>
        <v/>
      </c>
      <c r="O389" s="633" t="str">
        <f t="shared" si="180"/>
        <v/>
      </c>
      <c r="P389" s="632" t="str">
        <f>IF(G389=0,"",IF(F389=0,"",G389-F389))</f>
        <v/>
      </c>
      <c r="Q389" s="634" t="str">
        <f t="shared" si="181"/>
        <v/>
      </c>
      <c r="R389" s="635" t="str">
        <f>IF(P389="","",P389+N389)</f>
        <v/>
      </c>
      <c r="S389" s="633" t="str">
        <f t="shared" si="182"/>
        <v/>
      </c>
      <c r="T389" s="632" t="str">
        <f>IF(H389=0,"",IF(G389=0,"",H389-G389))</f>
        <v/>
      </c>
      <c r="U389" s="636" t="str">
        <f t="shared" si="183"/>
        <v/>
      </c>
      <c r="V389" s="637" t="str">
        <f>IF(T389="","",T389+R389)</f>
        <v/>
      </c>
      <c r="W389" s="633" t="str">
        <f t="shared" si="184"/>
        <v/>
      </c>
      <c r="X389" s="632" t="str">
        <f>IF(I389=0,"",IF(H389=0,"",I389-H389))</f>
        <v/>
      </c>
      <c r="Y389" s="636" t="str">
        <f t="shared" si="185"/>
        <v/>
      </c>
      <c r="Z389" s="637" t="str">
        <f>IF(X389="","",X389+V389)</f>
        <v/>
      </c>
      <c r="AA389" s="634" t="str">
        <f t="shared" si="186"/>
        <v/>
      </c>
      <c r="AB389" s="632" t="str">
        <f>IF(J389=0,"",IF(I389=0,"",J389-I389))</f>
        <v/>
      </c>
      <c r="AC389" s="634" t="str">
        <f t="shared" si="187"/>
        <v/>
      </c>
      <c r="AD389" s="635" t="str">
        <f t="shared" si="188"/>
        <v/>
      </c>
      <c r="AE389" s="633" t="str">
        <f t="shared" si="189"/>
        <v/>
      </c>
      <c r="AF389" s="632" t="str">
        <f>IF(K389=0,"",IF(J389=0,"",K389-J389))</f>
        <v/>
      </c>
      <c r="AG389" s="636" t="str">
        <f t="shared" si="190"/>
        <v/>
      </c>
      <c r="AH389" s="637" t="str">
        <f>IF(AF389="","",AF389+AD389)</f>
        <v/>
      </c>
      <c r="AI389" s="633" t="str">
        <f t="shared" si="191"/>
        <v/>
      </c>
      <c r="AJ389" s="632" t="str">
        <f>IF(L389=0,"",IF(K389=0,"",L389-K389))</f>
        <v/>
      </c>
      <c r="AK389" s="634" t="str">
        <f t="shared" si="192"/>
        <v/>
      </c>
      <c r="AL389" s="635" t="str">
        <f>IF(AJ389="","",AJ389+AH389)</f>
        <v/>
      </c>
      <c r="AM389" s="633" t="str">
        <f t="shared" si="193"/>
        <v/>
      </c>
      <c r="AN389" s="38"/>
    </row>
    <row r="390" spans="1:40" ht="13.2" x14ac:dyDescent="0.25">
      <c r="A390" s="26"/>
      <c r="B390" s="38"/>
      <c r="C390" s="801"/>
      <c r="D390" s="802"/>
      <c r="E390" s="361"/>
      <c r="F390" s="361"/>
      <c r="G390" s="361"/>
      <c r="H390" s="361"/>
      <c r="I390" s="361"/>
      <c r="J390" s="361"/>
      <c r="K390" s="361"/>
      <c r="L390" s="614"/>
      <c r="M390" s="45"/>
      <c r="N390" s="632" t="str">
        <f t="shared" si="179"/>
        <v/>
      </c>
      <c r="O390" s="633" t="str">
        <f t="shared" si="180"/>
        <v/>
      </c>
      <c r="P390" s="632" t="str">
        <f t="shared" si="194"/>
        <v/>
      </c>
      <c r="Q390" s="634" t="str">
        <f t="shared" si="181"/>
        <v/>
      </c>
      <c r="R390" s="635" t="str">
        <f t="shared" si="195"/>
        <v/>
      </c>
      <c r="S390" s="633" t="str">
        <f t="shared" si="182"/>
        <v/>
      </c>
      <c r="T390" s="632" t="str">
        <f t="shared" si="196"/>
        <v/>
      </c>
      <c r="U390" s="636" t="str">
        <f t="shared" si="183"/>
        <v/>
      </c>
      <c r="V390" s="637" t="str">
        <f t="shared" si="197"/>
        <v/>
      </c>
      <c r="W390" s="633" t="str">
        <f t="shared" si="184"/>
        <v/>
      </c>
      <c r="X390" s="632" t="str">
        <f t="shared" si="198"/>
        <v/>
      </c>
      <c r="Y390" s="636" t="str">
        <f t="shared" si="185"/>
        <v/>
      </c>
      <c r="Z390" s="637" t="str">
        <f t="shared" si="199"/>
        <v/>
      </c>
      <c r="AA390" s="634" t="str">
        <f t="shared" si="186"/>
        <v/>
      </c>
      <c r="AB390" s="632" t="str">
        <f t="shared" si="200"/>
        <v/>
      </c>
      <c r="AC390" s="634" t="str">
        <f t="shared" si="187"/>
        <v/>
      </c>
      <c r="AD390" s="635" t="str">
        <f t="shared" si="188"/>
        <v/>
      </c>
      <c r="AE390" s="633" t="str">
        <f t="shared" si="189"/>
        <v/>
      </c>
      <c r="AF390" s="632" t="str">
        <f t="shared" si="201"/>
        <v/>
      </c>
      <c r="AG390" s="636" t="str">
        <f t="shared" si="190"/>
        <v/>
      </c>
      <c r="AH390" s="637" t="str">
        <f t="shared" si="202"/>
        <v/>
      </c>
      <c r="AI390" s="633" t="str">
        <f t="shared" si="191"/>
        <v/>
      </c>
      <c r="AJ390" s="632" t="str">
        <f t="shared" si="203"/>
        <v/>
      </c>
      <c r="AK390" s="634" t="str">
        <f t="shared" si="192"/>
        <v/>
      </c>
      <c r="AL390" s="635" t="str">
        <f t="shared" si="204"/>
        <v/>
      </c>
      <c r="AM390" s="633" t="str">
        <f t="shared" si="193"/>
        <v/>
      </c>
      <c r="AN390" s="38"/>
    </row>
    <row r="391" spans="1:40" ht="13.2" x14ac:dyDescent="0.25">
      <c r="A391" s="26"/>
      <c r="B391" s="38"/>
      <c r="C391" s="801"/>
      <c r="D391" s="802"/>
      <c r="E391" s="357"/>
      <c r="F391" s="357"/>
      <c r="G391" s="357"/>
      <c r="H391" s="357"/>
      <c r="I391" s="357"/>
      <c r="J391" s="357"/>
      <c r="K391" s="357"/>
      <c r="L391" s="611"/>
      <c r="M391" s="45"/>
      <c r="N391" s="632" t="str">
        <f t="shared" si="179"/>
        <v/>
      </c>
      <c r="O391" s="633" t="str">
        <f t="shared" si="180"/>
        <v/>
      </c>
      <c r="P391" s="632" t="str">
        <f t="shared" si="194"/>
        <v/>
      </c>
      <c r="Q391" s="634" t="str">
        <f t="shared" si="181"/>
        <v/>
      </c>
      <c r="R391" s="635" t="str">
        <f t="shared" si="195"/>
        <v/>
      </c>
      <c r="S391" s="633" t="str">
        <f t="shared" si="182"/>
        <v/>
      </c>
      <c r="T391" s="632" t="str">
        <f t="shared" si="196"/>
        <v/>
      </c>
      <c r="U391" s="636" t="str">
        <f t="shared" si="183"/>
        <v/>
      </c>
      <c r="V391" s="637" t="str">
        <f t="shared" si="197"/>
        <v/>
      </c>
      <c r="W391" s="633" t="str">
        <f t="shared" si="184"/>
        <v/>
      </c>
      <c r="X391" s="632" t="str">
        <f t="shared" si="198"/>
        <v/>
      </c>
      <c r="Y391" s="636" t="str">
        <f t="shared" si="185"/>
        <v/>
      </c>
      <c r="Z391" s="637" t="str">
        <f t="shared" si="199"/>
        <v/>
      </c>
      <c r="AA391" s="634" t="str">
        <f t="shared" si="186"/>
        <v/>
      </c>
      <c r="AB391" s="632" t="str">
        <f t="shared" si="200"/>
        <v/>
      </c>
      <c r="AC391" s="634" t="str">
        <f t="shared" si="187"/>
        <v/>
      </c>
      <c r="AD391" s="635" t="str">
        <f t="shared" si="188"/>
        <v/>
      </c>
      <c r="AE391" s="633" t="str">
        <f t="shared" si="189"/>
        <v/>
      </c>
      <c r="AF391" s="632" t="str">
        <f t="shared" si="201"/>
        <v/>
      </c>
      <c r="AG391" s="636" t="str">
        <f t="shared" si="190"/>
        <v/>
      </c>
      <c r="AH391" s="637" t="str">
        <f t="shared" si="202"/>
        <v/>
      </c>
      <c r="AI391" s="633" t="str">
        <f t="shared" si="191"/>
        <v/>
      </c>
      <c r="AJ391" s="632" t="str">
        <f t="shared" si="203"/>
        <v/>
      </c>
      <c r="AK391" s="634" t="str">
        <f t="shared" si="192"/>
        <v/>
      </c>
      <c r="AL391" s="635" t="str">
        <f t="shared" si="204"/>
        <v/>
      </c>
      <c r="AM391" s="633" t="str">
        <f t="shared" si="193"/>
        <v/>
      </c>
      <c r="AN391" s="38"/>
    </row>
    <row r="392" spans="1:40" ht="13.2" x14ac:dyDescent="0.25">
      <c r="A392" s="26"/>
      <c r="B392" s="38"/>
      <c r="C392" s="801"/>
      <c r="D392" s="802"/>
      <c r="E392" s="357"/>
      <c r="F392" s="357"/>
      <c r="G392" s="357"/>
      <c r="H392" s="357"/>
      <c r="I392" s="357"/>
      <c r="J392" s="357"/>
      <c r="K392" s="357"/>
      <c r="L392" s="611"/>
      <c r="M392" s="45"/>
      <c r="N392" s="632" t="str">
        <f t="shared" si="179"/>
        <v/>
      </c>
      <c r="O392" s="633" t="str">
        <f t="shared" si="180"/>
        <v/>
      </c>
      <c r="P392" s="632" t="str">
        <f t="shared" si="194"/>
        <v/>
      </c>
      <c r="Q392" s="634" t="str">
        <f t="shared" si="181"/>
        <v/>
      </c>
      <c r="R392" s="635" t="str">
        <f t="shared" si="195"/>
        <v/>
      </c>
      <c r="S392" s="633" t="str">
        <f t="shared" si="182"/>
        <v/>
      </c>
      <c r="T392" s="632" t="str">
        <f t="shared" si="196"/>
        <v/>
      </c>
      <c r="U392" s="636" t="str">
        <f t="shared" si="183"/>
        <v/>
      </c>
      <c r="V392" s="637" t="str">
        <f t="shared" si="197"/>
        <v/>
      </c>
      <c r="W392" s="633" t="str">
        <f t="shared" si="184"/>
        <v/>
      </c>
      <c r="X392" s="632" t="str">
        <f t="shared" si="198"/>
        <v/>
      </c>
      <c r="Y392" s="636" t="str">
        <f t="shared" si="185"/>
        <v/>
      </c>
      <c r="Z392" s="637" t="str">
        <f t="shared" si="199"/>
        <v/>
      </c>
      <c r="AA392" s="634" t="str">
        <f t="shared" si="186"/>
        <v/>
      </c>
      <c r="AB392" s="632" t="str">
        <f t="shared" si="200"/>
        <v/>
      </c>
      <c r="AC392" s="634" t="str">
        <f t="shared" si="187"/>
        <v/>
      </c>
      <c r="AD392" s="635" t="str">
        <f t="shared" si="188"/>
        <v/>
      </c>
      <c r="AE392" s="633" t="str">
        <f t="shared" si="189"/>
        <v/>
      </c>
      <c r="AF392" s="632" t="str">
        <f t="shared" si="201"/>
        <v/>
      </c>
      <c r="AG392" s="636" t="str">
        <f t="shared" si="190"/>
        <v/>
      </c>
      <c r="AH392" s="637" t="str">
        <f t="shared" si="202"/>
        <v/>
      </c>
      <c r="AI392" s="633" t="str">
        <f t="shared" si="191"/>
        <v/>
      </c>
      <c r="AJ392" s="632" t="str">
        <f t="shared" si="203"/>
        <v/>
      </c>
      <c r="AK392" s="634" t="str">
        <f t="shared" si="192"/>
        <v/>
      </c>
      <c r="AL392" s="635" t="str">
        <f t="shared" si="204"/>
        <v/>
      </c>
      <c r="AM392" s="633" t="str">
        <f t="shared" si="193"/>
        <v/>
      </c>
      <c r="AN392" s="38"/>
    </row>
    <row r="393" spans="1:40" ht="13.8" thickBot="1" x14ac:dyDescent="0.3">
      <c r="A393" s="26"/>
      <c r="B393" s="38"/>
      <c r="C393" s="805"/>
      <c r="D393" s="806"/>
      <c r="E393" s="474"/>
      <c r="F393" s="474"/>
      <c r="G393" s="474"/>
      <c r="H393" s="474"/>
      <c r="I393" s="474"/>
      <c r="J393" s="474"/>
      <c r="K393" s="474"/>
      <c r="L393" s="613"/>
      <c r="M393" s="45"/>
      <c r="N393" s="642" t="str">
        <f t="shared" si="179"/>
        <v/>
      </c>
      <c r="O393" s="646" t="str">
        <f t="shared" si="180"/>
        <v/>
      </c>
      <c r="P393" s="642" t="str">
        <f t="shared" si="194"/>
        <v/>
      </c>
      <c r="Q393" s="647" t="str">
        <f t="shared" si="181"/>
        <v/>
      </c>
      <c r="R393" s="648" t="str">
        <f t="shared" si="195"/>
        <v/>
      </c>
      <c r="S393" s="646" t="str">
        <f t="shared" si="182"/>
        <v/>
      </c>
      <c r="T393" s="642" t="str">
        <f t="shared" si="196"/>
        <v/>
      </c>
      <c r="U393" s="649" t="str">
        <f t="shared" si="183"/>
        <v/>
      </c>
      <c r="V393" s="650" t="str">
        <f t="shared" si="197"/>
        <v/>
      </c>
      <c r="W393" s="646" t="str">
        <f t="shared" si="184"/>
        <v/>
      </c>
      <c r="X393" s="642" t="str">
        <f t="shared" si="198"/>
        <v/>
      </c>
      <c r="Y393" s="649" t="str">
        <f t="shared" si="185"/>
        <v/>
      </c>
      <c r="Z393" s="650" t="str">
        <f t="shared" si="199"/>
        <v/>
      </c>
      <c r="AA393" s="647" t="str">
        <f t="shared" si="186"/>
        <v/>
      </c>
      <c r="AB393" s="642" t="str">
        <f t="shared" si="200"/>
        <v/>
      </c>
      <c r="AC393" s="647" t="str">
        <f t="shared" si="187"/>
        <v/>
      </c>
      <c r="AD393" s="648" t="str">
        <f t="shared" si="188"/>
        <v/>
      </c>
      <c r="AE393" s="646" t="str">
        <f t="shared" si="189"/>
        <v/>
      </c>
      <c r="AF393" s="642" t="str">
        <f t="shared" si="201"/>
        <v/>
      </c>
      <c r="AG393" s="649" t="str">
        <f t="shared" si="190"/>
        <v/>
      </c>
      <c r="AH393" s="650" t="str">
        <f t="shared" si="202"/>
        <v/>
      </c>
      <c r="AI393" s="646" t="str">
        <f t="shared" si="191"/>
        <v/>
      </c>
      <c r="AJ393" s="642" t="str">
        <f t="shared" si="203"/>
        <v/>
      </c>
      <c r="AK393" s="647" t="str">
        <f t="shared" si="192"/>
        <v/>
      </c>
      <c r="AL393" s="648" t="str">
        <f t="shared" si="204"/>
        <v/>
      </c>
      <c r="AM393" s="646" t="str">
        <f t="shared" si="193"/>
        <v/>
      </c>
      <c r="AN393" s="38"/>
    </row>
    <row r="394" spans="1:40" ht="12" thickTop="1" x14ac:dyDescent="0.2">
      <c r="A394" s="26"/>
      <c r="B394" s="38"/>
      <c r="C394" s="38"/>
      <c r="D394" s="38"/>
      <c r="E394" s="38"/>
      <c r="F394" s="38"/>
      <c r="G394" s="38"/>
      <c r="H394" s="38"/>
      <c r="I394" s="38"/>
      <c r="J394" s="38"/>
      <c r="K394" s="38"/>
      <c r="L394" s="38"/>
      <c r="M394" s="38"/>
      <c r="N394" s="242"/>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row>
    <row r="395" spans="1:40" x14ac:dyDescent="0.2">
      <c r="A395" s="26"/>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row>
    <row r="396" spans="1:40" ht="15.6" x14ac:dyDescent="0.3">
      <c r="A396" s="26"/>
      <c r="B396" s="38"/>
      <c r="C396" s="83" t="s">
        <v>66</v>
      </c>
      <c r="D396" s="38"/>
      <c r="E396" s="38"/>
      <c r="F396" s="38"/>
      <c r="G396" s="38"/>
      <c r="H396" s="38"/>
      <c r="I396" s="38"/>
      <c r="J396" s="38"/>
      <c r="K396" s="38"/>
      <c r="L396" s="38"/>
      <c r="M396" s="38"/>
      <c r="N396" s="83"/>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row>
    <row r="397" spans="1:40" ht="12" thickBot="1" x14ac:dyDescent="0.25">
      <c r="A397" s="26"/>
      <c r="B397" s="38"/>
      <c r="C397" s="38"/>
      <c r="D397" s="38"/>
      <c r="E397" s="38"/>
      <c r="F397" s="38"/>
      <c r="G397" s="38"/>
      <c r="H397" s="38"/>
      <c r="I397" s="38"/>
      <c r="J397" s="38"/>
      <c r="K397" s="38"/>
      <c r="L397" s="38"/>
      <c r="M397" s="38"/>
      <c r="N397" s="244"/>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row>
    <row r="398" spans="1:40" ht="16.8" thickTop="1" thickBot="1" x14ac:dyDescent="0.35">
      <c r="A398" s="26"/>
      <c r="B398" s="38"/>
      <c r="C398" s="38"/>
      <c r="D398" s="38"/>
      <c r="E398" s="38"/>
      <c r="F398" s="807" t="s">
        <v>66</v>
      </c>
      <c r="G398" s="808"/>
      <c r="H398" s="808"/>
      <c r="I398" s="808"/>
      <c r="J398" s="808"/>
      <c r="K398" s="808"/>
      <c r="L398" s="809"/>
      <c r="M398" s="45"/>
      <c r="N398" s="815" t="s">
        <v>595</v>
      </c>
      <c r="O398" s="816"/>
      <c r="P398" s="816"/>
      <c r="Q398" s="816"/>
      <c r="R398" s="816"/>
      <c r="S398" s="816"/>
      <c r="T398" s="816"/>
      <c r="U398" s="816"/>
      <c r="V398" s="816"/>
      <c r="W398" s="816"/>
      <c r="X398" s="816"/>
      <c r="Y398" s="816"/>
      <c r="Z398" s="816"/>
      <c r="AA398" s="816"/>
      <c r="AB398" s="816"/>
      <c r="AC398" s="816"/>
      <c r="AD398" s="816"/>
      <c r="AE398" s="816"/>
      <c r="AF398" s="816"/>
      <c r="AG398" s="816"/>
      <c r="AH398" s="816"/>
      <c r="AI398" s="816"/>
      <c r="AJ398" s="816"/>
      <c r="AK398" s="816"/>
      <c r="AL398" s="816"/>
      <c r="AM398" s="817"/>
      <c r="AN398" s="38"/>
    </row>
    <row r="399" spans="1:40" ht="39" customHeight="1" thickTop="1" x14ac:dyDescent="0.25">
      <c r="A399" s="26"/>
      <c r="B399" s="38"/>
      <c r="C399" s="803" t="s">
        <v>48</v>
      </c>
      <c r="D399" s="804"/>
      <c r="E399" s="608" t="s">
        <v>607</v>
      </c>
      <c r="F399" s="608" t="s">
        <v>49</v>
      </c>
      <c r="G399" s="608" t="s">
        <v>50</v>
      </c>
      <c r="H399" s="608" t="s">
        <v>51</v>
      </c>
      <c r="I399" s="608" t="s">
        <v>52</v>
      </c>
      <c r="J399" s="608" t="s">
        <v>53</v>
      </c>
      <c r="K399" s="608" t="s">
        <v>54</v>
      </c>
      <c r="L399" s="609" t="s">
        <v>55</v>
      </c>
      <c r="M399" s="262"/>
      <c r="N399" s="798" t="s">
        <v>56</v>
      </c>
      <c r="O399" s="800"/>
      <c r="P399" s="798" t="s">
        <v>57</v>
      </c>
      <c r="Q399" s="799"/>
      <c r="R399" s="799"/>
      <c r="S399" s="800"/>
      <c r="T399" s="798" t="s">
        <v>58</v>
      </c>
      <c r="U399" s="799"/>
      <c r="V399" s="799"/>
      <c r="W399" s="800"/>
      <c r="X399" s="795" t="s">
        <v>59</v>
      </c>
      <c r="Y399" s="796"/>
      <c r="Z399" s="796"/>
      <c r="AA399" s="797"/>
      <c r="AB399" s="795" t="s">
        <v>60</v>
      </c>
      <c r="AC399" s="796"/>
      <c r="AD399" s="796"/>
      <c r="AE399" s="797"/>
      <c r="AF399" s="795" t="s">
        <v>61</v>
      </c>
      <c r="AG399" s="796"/>
      <c r="AH399" s="796"/>
      <c r="AI399" s="797"/>
      <c r="AJ399" s="795" t="s">
        <v>62</v>
      </c>
      <c r="AK399" s="796"/>
      <c r="AL399" s="796"/>
      <c r="AM399" s="797"/>
      <c r="AN399" s="38"/>
    </row>
    <row r="400" spans="1:40" ht="13.2" x14ac:dyDescent="0.25">
      <c r="A400" s="26"/>
      <c r="B400" s="38"/>
      <c r="C400" s="610"/>
      <c r="D400" s="87"/>
      <c r="E400" s="629" t="str">
        <f>E373</f>
        <v>2017-18</v>
      </c>
      <c r="F400" s="629" t="str">
        <f t="shared" ref="F400:L400" si="205">F373</f>
        <v>2018-19</v>
      </c>
      <c r="G400" s="629" t="str">
        <f t="shared" si="205"/>
        <v>2019-20</v>
      </c>
      <c r="H400" s="629" t="str">
        <f t="shared" si="205"/>
        <v>2020-21</v>
      </c>
      <c r="I400" s="629" t="str">
        <f t="shared" si="205"/>
        <v>2021-22</v>
      </c>
      <c r="J400" s="629" t="str">
        <f t="shared" si="205"/>
        <v>2022-23</v>
      </c>
      <c r="K400" s="629" t="str">
        <f t="shared" si="205"/>
        <v>2023-24</v>
      </c>
      <c r="L400" s="652" t="str">
        <f t="shared" si="205"/>
        <v>2024-25</v>
      </c>
      <c r="M400" s="262"/>
      <c r="N400" s="235" t="s">
        <v>44</v>
      </c>
      <c r="O400" s="232" t="s">
        <v>67</v>
      </c>
      <c r="P400" s="235" t="s">
        <v>44</v>
      </c>
      <c r="Q400" s="231" t="s">
        <v>67</v>
      </c>
      <c r="R400" s="228" t="s">
        <v>45</v>
      </c>
      <c r="S400" s="232" t="s">
        <v>67</v>
      </c>
      <c r="T400" s="235" t="s">
        <v>44</v>
      </c>
      <c r="U400" s="231" t="s">
        <v>67</v>
      </c>
      <c r="V400" s="228" t="s">
        <v>45</v>
      </c>
      <c r="W400" s="232" t="s">
        <v>67</v>
      </c>
      <c r="X400" s="235" t="s">
        <v>44</v>
      </c>
      <c r="Y400" s="231" t="s">
        <v>67</v>
      </c>
      <c r="Z400" s="228" t="s">
        <v>45</v>
      </c>
      <c r="AA400" s="232" t="s">
        <v>67</v>
      </c>
      <c r="AB400" s="235" t="s">
        <v>44</v>
      </c>
      <c r="AC400" s="231" t="s">
        <v>67</v>
      </c>
      <c r="AD400" s="228" t="s">
        <v>45</v>
      </c>
      <c r="AE400" s="232" t="s">
        <v>67</v>
      </c>
      <c r="AF400" s="235" t="s">
        <v>44</v>
      </c>
      <c r="AG400" s="231" t="s">
        <v>67</v>
      </c>
      <c r="AH400" s="228" t="s">
        <v>45</v>
      </c>
      <c r="AI400" s="232" t="s">
        <v>67</v>
      </c>
      <c r="AJ400" s="235" t="s">
        <v>44</v>
      </c>
      <c r="AK400" s="228" t="s">
        <v>67</v>
      </c>
      <c r="AL400" s="229" t="s">
        <v>45</v>
      </c>
      <c r="AM400" s="232" t="s">
        <v>67</v>
      </c>
      <c r="AN400" s="38"/>
    </row>
    <row r="401" spans="1:40" ht="13.2" x14ac:dyDescent="0.25">
      <c r="A401" s="26"/>
      <c r="B401" s="38"/>
      <c r="C401" s="801"/>
      <c r="D401" s="802"/>
      <c r="E401" s="357"/>
      <c r="F401" s="357"/>
      <c r="G401" s="357"/>
      <c r="H401" s="357"/>
      <c r="I401" s="357"/>
      <c r="J401" s="357"/>
      <c r="K401" s="357"/>
      <c r="L401" s="611"/>
      <c r="M401" s="45"/>
      <c r="N401" s="632" t="str">
        <f t="shared" ref="N401:N410" si="206">IF(F401=0,"",IF(E401=0,"",F401-E401))</f>
        <v/>
      </c>
      <c r="O401" s="633" t="str">
        <f t="shared" ref="O401:O410" si="207">IF(N401="","",N401/E401)</f>
        <v/>
      </c>
      <c r="P401" s="632" t="str">
        <f>IF(G401=0,"",IF(F401=0,"",G401-F401))</f>
        <v/>
      </c>
      <c r="Q401" s="634" t="str">
        <f t="shared" ref="Q401:Q410" si="208">IF(P401="","",P401/F401)</f>
        <v/>
      </c>
      <c r="R401" s="635" t="str">
        <f>IF(P401="","",P401+N401)</f>
        <v/>
      </c>
      <c r="S401" s="633" t="str">
        <f t="shared" ref="S401:S410" si="209">IF(R401="","",R401/E401)</f>
        <v/>
      </c>
      <c r="T401" s="632" t="str">
        <f>IF(H401=0,"",IF(G401=0,"",H401-G401))</f>
        <v/>
      </c>
      <c r="U401" s="634" t="str">
        <f t="shared" ref="U401:U410" si="210">IF(T401="","",T401/G401)</f>
        <v/>
      </c>
      <c r="V401" s="635" t="str">
        <f>IF(T401="","",T401+R401)</f>
        <v/>
      </c>
      <c r="W401" s="633" t="str">
        <f t="shared" ref="W401:W410" si="211">IF(V401="","",V401/E401)</f>
        <v/>
      </c>
      <c r="X401" s="632" t="str">
        <f>IF(I401=0,"",IF(H401=0,"",I401-H401))</f>
        <v/>
      </c>
      <c r="Y401" s="634" t="str">
        <f t="shared" ref="Y401:Y410" si="212">IF(X401="","",X401/H401)</f>
        <v/>
      </c>
      <c r="Z401" s="635" t="str">
        <f>IF(X401="","",X401+V401)</f>
        <v/>
      </c>
      <c r="AA401" s="633" t="str">
        <f t="shared" ref="AA401:AA410" si="213">IF(Z401="","",Z401/E401)</f>
        <v/>
      </c>
      <c r="AB401" s="632" t="str">
        <f>IF(J401=0,"",IF(I401=0,"",J401-I401))</f>
        <v/>
      </c>
      <c r="AC401" s="653" t="str">
        <f t="shared" ref="AC401:AC410" si="214">IF(AB401="","",AB401/I401)</f>
        <v/>
      </c>
      <c r="AD401" s="635" t="str">
        <f t="shared" ref="AD401:AD410" si="215">IF(AB401="","",AB401+Z401)</f>
        <v/>
      </c>
      <c r="AE401" s="633" t="str">
        <f t="shared" ref="AE401:AE410" si="216">IF(AD401="","",AD401/E401)</f>
        <v/>
      </c>
      <c r="AF401" s="632" t="str">
        <f>IF(K401=0,"",IF(J401=0,"",K401-J401))</f>
        <v/>
      </c>
      <c r="AG401" s="634" t="str">
        <f t="shared" ref="AG401:AG410" si="217">IF(AF401="","",AF401/J401)</f>
        <v/>
      </c>
      <c r="AH401" s="635" t="str">
        <f>IF(AF401="","",AF401+AD401)</f>
        <v/>
      </c>
      <c r="AI401" s="633" t="str">
        <f t="shared" ref="AI401:AI410" si="218">IF(AH401="","",AH401/E401)</f>
        <v/>
      </c>
      <c r="AJ401" s="632" t="str">
        <f>IF(L401=0,"",IF(K401=0,"",L401-K401))</f>
        <v/>
      </c>
      <c r="AK401" s="636" t="str">
        <f t="shared" ref="AK401:AK410" si="219">IF(AJ401="","",AJ401/K401)</f>
        <v/>
      </c>
      <c r="AL401" s="637" t="str">
        <f>IF(AJ401="","",AJ401+AH401)</f>
        <v/>
      </c>
      <c r="AM401" s="633" t="str">
        <f t="shared" ref="AM401:AM410" si="220">IF(AL401="","",AL401/E401)</f>
        <v/>
      </c>
      <c r="AN401" s="38"/>
    </row>
    <row r="402" spans="1:40" ht="13.2" x14ac:dyDescent="0.25">
      <c r="A402" s="26"/>
      <c r="B402" s="38"/>
      <c r="C402" s="801"/>
      <c r="D402" s="802"/>
      <c r="E402" s="357"/>
      <c r="F402" s="357"/>
      <c r="G402" s="357"/>
      <c r="H402" s="357"/>
      <c r="I402" s="357"/>
      <c r="J402" s="357"/>
      <c r="K402" s="357"/>
      <c r="L402" s="611"/>
      <c r="M402" s="45"/>
      <c r="N402" s="632" t="str">
        <f t="shared" si="206"/>
        <v/>
      </c>
      <c r="O402" s="633" t="str">
        <f t="shared" si="207"/>
        <v/>
      </c>
      <c r="P402" s="632" t="str">
        <f>IF(G402=0,"",IF(F402=0,"",G402-F402))</f>
        <v/>
      </c>
      <c r="Q402" s="634" t="str">
        <f t="shared" si="208"/>
        <v/>
      </c>
      <c r="R402" s="635" t="str">
        <f>IF(P402="","",P402+N402)</f>
        <v/>
      </c>
      <c r="S402" s="633" t="str">
        <f t="shared" si="209"/>
        <v/>
      </c>
      <c r="T402" s="632" t="str">
        <f>IF(H402=0,"",IF(G402=0,"",H402-G402))</f>
        <v/>
      </c>
      <c r="U402" s="634" t="str">
        <f t="shared" si="210"/>
        <v/>
      </c>
      <c r="V402" s="635" t="str">
        <f>IF(T402="","",T402+R402)</f>
        <v/>
      </c>
      <c r="W402" s="633" t="str">
        <f t="shared" si="211"/>
        <v/>
      </c>
      <c r="X402" s="632" t="str">
        <f>IF(I402=0,"",IF(H402=0,"",I402-H402))</f>
        <v/>
      </c>
      <c r="Y402" s="634" t="str">
        <f t="shared" si="212"/>
        <v/>
      </c>
      <c r="Z402" s="635" t="str">
        <f>IF(X402="","",X402+V402)</f>
        <v/>
      </c>
      <c r="AA402" s="633" t="str">
        <f t="shared" si="213"/>
        <v/>
      </c>
      <c r="AB402" s="654" t="str">
        <f>IF(J402=0,"",IF(I402=0,"",J402-I402))</f>
        <v/>
      </c>
      <c r="AC402" s="634" t="str">
        <f t="shared" si="214"/>
        <v/>
      </c>
      <c r="AD402" s="635" t="str">
        <f t="shared" si="215"/>
        <v/>
      </c>
      <c r="AE402" s="633" t="str">
        <f t="shared" si="216"/>
        <v/>
      </c>
      <c r="AF402" s="632" t="str">
        <f>IF(K402=0,"",IF(J402=0,"",K402-J402))</f>
        <v/>
      </c>
      <c r="AG402" s="634" t="str">
        <f t="shared" si="217"/>
        <v/>
      </c>
      <c r="AH402" s="635" t="str">
        <f>IF(AF402="","",AF402+AD402)</f>
        <v/>
      </c>
      <c r="AI402" s="633" t="str">
        <f t="shared" si="218"/>
        <v/>
      </c>
      <c r="AJ402" s="632" t="str">
        <f>IF(L402=0,"",IF(K402=0,"",L402-K402))</f>
        <v/>
      </c>
      <c r="AK402" s="636" t="str">
        <f t="shared" si="219"/>
        <v/>
      </c>
      <c r="AL402" s="637" t="str">
        <f>IF(AJ402="","",AJ402+AH402)</f>
        <v/>
      </c>
      <c r="AM402" s="633" t="str">
        <f t="shared" si="220"/>
        <v/>
      </c>
      <c r="AN402" s="38"/>
    </row>
    <row r="403" spans="1:40" ht="13.2" x14ac:dyDescent="0.25">
      <c r="A403" s="26"/>
      <c r="B403" s="38"/>
      <c r="C403" s="801"/>
      <c r="D403" s="802"/>
      <c r="E403" s="357"/>
      <c r="F403" s="357"/>
      <c r="G403" s="357"/>
      <c r="H403" s="357"/>
      <c r="I403" s="357"/>
      <c r="J403" s="357"/>
      <c r="K403" s="357"/>
      <c r="L403" s="611"/>
      <c r="M403" s="45"/>
      <c r="N403" s="632" t="str">
        <f t="shared" si="206"/>
        <v/>
      </c>
      <c r="O403" s="633" t="str">
        <f t="shared" si="207"/>
        <v/>
      </c>
      <c r="P403" s="632" t="str">
        <f t="shared" ref="P403:P410" si="221">IF(G403=0,"",IF(F403=0,"",G403-F403))</f>
        <v/>
      </c>
      <c r="Q403" s="634" t="str">
        <f t="shared" si="208"/>
        <v/>
      </c>
      <c r="R403" s="635" t="str">
        <f t="shared" ref="R403:R410" si="222">IF(P403="","",P403+N403)</f>
        <v/>
      </c>
      <c r="S403" s="633" t="str">
        <f t="shared" si="209"/>
        <v/>
      </c>
      <c r="T403" s="632" t="str">
        <f t="shared" ref="T403:T410" si="223">IF(H403=0,"",IF(G403=0,"",H403-G403))</f>
        <v/>
      </c>
      <c r="U403" s="634" t="str">
        <f t="shared" si="210"/>
        <v/>
      </c>
      <c r="V403" s="635" t="str">
        <f t="shared" ref="V403:V410" si="224">IF(T403="","",T403+R403)</f>
        <v/>
      </c>
      <c r="W403" s="633" t="str">
        <f t="shared" si="211"/>
        <v/>
      </c>
      <c r="X403" s="632" t="str">
        <f t="shared" ref="X403:X410" si="225">IF(I403=0,"",IF(H403=0,"",I403-H403))</f>
        <v/>
      </c>
      <c r="Y403" s="634" t="str">
        <f t="shared" si="212"/>
        <v/>
      </c>
      <c r="Z403" s="635" t="str">
        <f t="shared" ref="Z403:Z410" si="226">IF(X403="","",X403+V403)</f>
        <v/>
      </c>
      <c r="AA403" s="633" t="str">
        <f t="shared" si="213"/>
        <v/>
      </c>
      <c r="AB403" s="632" t="str">
        <f t="shared" ref="AB403:AB410" si="227">IF(J403=0,"",IF(I403=0,"",J403-I403))</f>
        <v/>
      </c>
      <c r="AC403" s="634" t="str">
        <f t="shared" si="214"/>
        <v/>
      </c>
      <c r="AD403" s="635" t="str">
        <f t="shared" si="215"/>
        <v/>
      </c>
      <c r="AE403" s="633" t="str">
        <f t="shared" si="216"/>
        <v/>
      </c>
      <c r="AF403" s="632" t="str">
        <f t="shared" ref="AF403:AF410" si="228">IF(K403=0,"",IF(J403=0,"",K403-J403))</f>
        <v/>
      </c>
      <c r="AG403" s="634" t="str">
        <f t="shared" si="217"/>
        <v/>
      </c>
      <c r="AH403" s="635" t="str">
        <f t="shared" ref="AH403:AH410" si="229">IF(AF403="","",AF403+AD403)</f>
        <v/>
      </c>
      <c r="AI403" s="633" t="str">
        <f t="shared" si="218"/>
        <v/>
      </c>
      <c r="AJ403" s="632" t="str">
        <f t="shared" ref="AJ403:AJ410" si="230">IF(L403=0,"",IF(K403=0,"",L403-K403))</f>
        <v/>
      </c>
      <c r="AK403" s="636" t="str">
        <f t="shared" si="219"/>
        <v/>
      </c>
      <c r="AL403" s="637" t="str">
        <f t="shared" ref="AL403:AL410" si="231">IF(AJ403="","",AJ403+AH403)</f>
        <v/>
      </c>
      <c r="AM403" s="633" t="str">
        <f t="shared" si="220"/>
        <v/>
      </c>
      <c r="AN403" s="38"/>
    </row>
    <row r="404" spans="1:40" ht="13.2" x14ac:dyDescent="0.25">
      <c r="A404" s="26"/>
      <c r="B404" s="38"/>
      <c r="C404" s="801"/>
      <c r="D404" s="802"/>
      <c r="E404" s="357"/>
      <c r="F404" s="357"/>
      <c r="G404" s="357"/>
      <c r="H404" s="357"/>
      <c r="I404" s="357"/>
      <c r="J404" s="357"/>
      <c r="K404" s="357"/>
      <c r="L404" s="611"/>
      <c r="M404" s="45"/>
      <c r="N404" s="632" t="str">
        <f t="shared" si="206"/>
        <v/>
      </c>
      <c r="O404" s="633" t="str">
        <f t="shared" si="207"/>
        <v/>
      </c>
      <c r="P404" s="632" t="str">
        <f t="shared" si="221"/>
        <v/>
      </c>
      <c r="Q404" s="634" t="str">
        <f t="shared" si="208"/>
        <v/>
      </c>
      <c r="R404" s="635" t="str">
        <f t="shared" si="222"/>
        <v/>
      </c>
      <c r="S404" s="633" t="str">
        <f t="shared" si="209"/>
        <v/>
      </c>
      <c r="T404" s="632" t="str">
        <f t="shared" si="223"/>
        <v/>
      </c>
      <c r="U404" s="634" t="str">
        <f t="shared" si="210"/>
        <v/>
      </c>
      <c r="V404" s="635" t="str">
        <f t="shared" si="224"/>
        <v/>
      </c>
      <c r="W404" s="633" t="str">
        <f t="shared" si="211"/>
        <v/>
      </c>
      <c r="X404" s="632" t="str">
        <f t="shared" si="225"/>
        <v/>
      </c>
      <c r="Y404" s="634" t="str">
        <f t="shared" si="212"/>
        <v/>
      </c>
      <c r="Z404" s="635" t="str">
        <f t="shared" si="226"/>
        <v/>
      </c>
      <c r="AA404" s="633" t="str">
        <f t="shared" si="213"/>
        <v/>
      </c>
      <c r="AB404" s="632" t="str">
        <f t="shared" si="227"/>
        <v/>
      </c>
      <c r="AC404" s="634" t="str">
        <f t="shared" si="214"/>
        <v/>
      </c>
      <c r="AD404" s="635" t="str">
        <f t="shared" si="215"/>
        <v/>
      </c>
      <c r="AE404" s="633" t="str">
        <f t="shared" si="216"/>
        <v/>
      </c>
      <c r="AF404" s="632" t="str">
        <f t="shared" si="228"/>
        <v/>
      </c>
      <c r="AG404" s="634" t="str">
        <f t="shared" si="217"/>
        <v/>
      </c>
      <c r="AH404" s="635" t="str">
        <f t="shared" si="229"/>
        <v/>
      </c>
      <c r="AI404" s="633" t="str">
        <f t="shared" si="218"/>
        <v/>
      </c>
      <c r="AJ404" s="632" t="str">
        <f t="shared" si="230"/>
        <v/>
      </c>
      <c r="AK404" s="636" t="str">
        <f t="shared" si="219"/>
        <v/>
      </c>
      <c r="AL404" s="637" t="str">
        <f t="shared" si="231"/>
        <v/>
      </c>
      <c r="AM404" s="633" t="str">
        <f t="shared" si="220"/>
        <v/>
      </c>
      <c r="AN404" s="38"/>
    </row>
    <row r="405" spans="1:40" ht="13.2" x14ac:dyDescent="0.25">
      <c r="A405" s="26"/>
      <c r="B405" s="38"/>
      <c r="C405" s="801"/>
      <c r="D405" s="802"/>
      <c r="E405" s="357"/>
      <c r="F405" s="357"/>
      <c r="G405" s="357"/>
      <c r="H405" s="357"/>
      <c r="I405" s="357"/>
      <c r="J405" s="357"/>
      <c r="K405" s="357"/>
      <c r="L405" s="611"/>
      <c r="M405" s="45"/>
      <c r="N405" s="632" t="str">
        <f t="shared" si="206"/>
        <v/>
      </c>
      <c r="O405" s="633" t="str">
        <f t="shared" si="207"/>
        <v/>
      </c>
      <c r="P405" s="632" t="str">
        <f t="shared" si="221"/>
        <v/>
      </c>
      <c r="Q405" s="634" t="str">
        <f t="shared" si="208"/>
        <v/>
      </c>
      <c r="R405" s="635" t="str">
        <f t="shared" si="222"/>
        <v/>
      </c>
      <c r="S405" s="633" t="str">
        <f t="shared" si="209"/>
        <v/>
      </c>
      <c r="T405" s="632" t="str">
        <f t="shared" si="223"/>
        <v/>
      </c>
      <c r="U405" s="634" t="str">
        <f t="shared" si="210"/>
        <v/>
      </c>
      <c r="V405" s="635" t="str">
        <f t="shared" si="224"/>
        <v/>
      </c>
      <c r="W405" s="633" t="str">
        <f t="shared" si="211"/>
        <v/>
      </c>
      <c r="X405" s="632" t="str">
        <f t="shared" si="225"/>
        <v/>
      </c>
      <c r="Y405" s="634" t="str">
        <f t="shared" si="212"/>
        <v/>
      </c>
      <c r="Z405" s="635" t="str">
        <f t="shared" si="226"/>
        <v/>
      </c>
      <c r="AA405" s="633" t="str">
        <f t="shared" si="213"/>
        <v/>
      </c>
      <c r="AB405" s="632" t="str">
        <f t="shared" si="227"/>
        <v/>
      </c>
      <c r="AC405" s="634" t="str">
        <f t="shared" si="214"/>
        <v/>
      </c>
      <c r="AD405" s="635" t="str">
        <f t="shared" si="215"/>
        <v/>
      </c>
      <c r="AE405" s="633" t="str">
        <f t="shared" si="216"/>
        <v/>
      </c>
      <c r="AF405" s="632" t="str">
        <f t="shared" si="228"/>
        <v/>
      </c>
      <c r="AG405" s="634" t="str">
        <f t="shared" si="217"/>
        <v/>
      </c>
      <c r="AH405" s="635" t="str">
        <f t="shared" si="229"/>
        <v/>
      </c>
      <c r="AI405" s="633" t="str">
        <f t="shared" si="218"/>
        <v/>
      </c>
      <c r="AJ405" s="632" t="str">
        <f t="shared" si="230"/>
        <v/>
      </c>
      <c r="AK405" s="636" t="str">
        <f t="shared" si="219"/>
        <v/>
      </c>
      <c r="AL405" s="637" t="str">
        <f t="shared" si="231"/>
        <v/>
      </c>
      <c r="AM405" s="633" t="str">
        <f t="shared" si="220"/>
        <v/>
      </c>
      <c r="AN405" s="38"/>
    </row>
    <row r="406" spans="1:40" ht="13.2" x14ac:dyDescent="0.25">
      <c r="A406" s="26"/>
      <c r="B406" s="38"/>
      <c r="C406" s="801"/>
      <c r="D406" s="802"/>
      <c r="E406" s="357"/>
      <c r="F406" s="357"/>
      <c r="G406" s="357"/>
      <c r="H406" s="357"/>
      <c r="I406" s="357"/>
      <c r="J406" s="357"/>
      <c r="K406" s="357"/>
      <c r="L406" s="611"/>
      <c r="M406" s="45"/>
      <c r="N406" s="632" t="str">
        <f t="shared" si="206"/>
        <v/>
      </c>
      <c r="O406" s="633" t="str">
        <f t="shared" si="207"/>
        <v/>
      </c>
      <c r="P406" s="632" t="str">
        <f t="shared" si="221"/>
        <v/>
      </c>
      <c r="Q406" s="634" t="str">
        <f t="shared" si="208"/>
        <v/>
      </c>
      <c r="R406" s="635" t="str">
        <f t="shared" si="222"/>
        <v/>
      </c>
      <c r="S406" s="633" t="str">
        <f t="shared" si="209"/>
        <v/>
      </c>
      <c r="T406" s="632" t="str">
        <f t="shared" si="223"/>
        <v/>
      </c>
      <c r="U406" s="634" t="str">
        <f t="shared" si="210"/>
        <v/>
      </c>
      <c r="V406" s="635" t="str">
        <f t="shared" si="224"/>
        <v/>
      </c>
      <c r="W406" s="633" t="str">
        <f t="shared" si="211"/>
        <v/>
      </c>
      <c r="X406" s="632" t="str">
        <f t="shared" si="225"/>
        <v/>
      </c>
      <c r="Y406" s="634" t="str">
        <f t="shared" si="212"/>
        <v/>
      </c>
      <c r="Z406" s="635" t="str">
        <f t="shared" si="226"/>
        <v/>
      </c>
      <c r="AA406" s="633" t="str">
        <f t="shared" si="213"/>
        <v/>
      </c>
      <c r="AB406" s="632" t="str">
        <f t="shared" si="227"/>
        <v/>
      </c>
      <c r="AC406" s="634" t="str">
        <f t="shared" si="214"/>
        <v/>
      </c>
      <c r="AD406" s="635" t="str">
        <f t="shared" si="215"/>
        <v/>
      </c>
      <c r="AE406" s="633" t="str">
        <f t="shared" si="216"/>
        <v/>
      </c>
      <c r="AF406" s="632" t="str">
        <f t="shared" si="228"/>
        <v/>
      </c>
      <c r="AG406" s="634" t="str">
        <f t="shared" si="217"/>
        <v/>
      </c>
      <c r="AH406" s="635" t="str">
        <f t="shared" si="229"/>
        <v/>
      </c>
      <c r="AI406" s="633" t="str">
        <f t="shared" si="218"/>
        <v/>
      </c>
      <c r="AJ406" s="632" t="str">
        <f t="shared" si="230"/>
        <v/>
      </c>
      <c r="AK406" s="636" t="str">
        <f t="shared" si="219"/>
        <v/>
      </c>
      <c r="AL406" s="637" t="str">
        <f t="shared" si="231"/>
        <v/>
      </c>
      <c r="AM406" s="633" t="str">
        <f t="shared" si="220"/>
        <v/>
      </c>
      <c r="AN406" s="38"/>
    </row>
    <row r="407" spans="1:40" ht="13.2" x14ac:dyDescent="0.25">
      <c r="A407" s="26"/>
      <c r="B407" s="38"/>
      <c r="C407" s="801"/>
      <c r="D407" s="802"/>
      <c r="E407" s="357"/>
      <c r="F407" s="357"/>
      <c r="G407" s="357"/>
      <c r="H407" s="357"/>
      <c r="I407" s="357"/>
      <c r="J407" s="357"/>
      <c r="K407" s="357"/>
      <c r="L407" s="611"/>
      <c r="M407" s="45"/>
      <c r="N407" s="632" t="str">
        <f t="shared" si="206"/>
        <v/>
      </c>
      <c r="O407" s="633" t="str">
        <f t="shared" si="207"/>
        <v/>
      </c>
      <c r="P407" s="632" t="str">
        <f t="shared" si="221"/>
        <v/>
      </c>
      <c r="Q407" s="634" t="str">
        <f t="shared" si="208"/>
        <v/>
      </c>
      <c r="R407" s="635" t="str">
        <f t="shared" si="222"/>
        <v/>
      </c>
      <c r="S407" s="633" t="str">
        <f t="shared" si="209"/>
        <v/>
      </c>
      <c r="T407" s="632" t="str">
        <f t="shared" si="223"/>
        <v/>
      </c>
      <c r="U407" s="634" t="str">
        <f t="shared" si="210"/>
        <v/>
      </c>
      <c r="V407" s="635" t="str">
        <f t="shared" si="224"/>
        <v/>
      </c>
      <c r="W407" s="633" t="str">
        <f t="shared" si="211"/>
        <v/>
      </c>
      <c r="X407" s="632" t="str">
        <f t="shared" si="225"/>
        <v/>
      </c>
      <c r="Y407" s="634" t="str">
        <f t="shared" si="212"/>
        <v/>
      </c>
      <c r="Z407" s="635" t="str">
        <f t="shared" si="226"/>
        <v/>
      </c>
      <c r="AA407" s="633" t="str">
        <f t="shared" si="213"/>
        <v/>
      </c>
      <c r="AB407" s="632" t="str">
        <f t="shared" si="227"/>
        <v/>
      </c>
      <c r="AC407" s="634" t="str">
        <f t="shared" si="214"/>
        <v/>
      </c>
      <c r="AD407" s="635" t="str">
        <f t="shared" si="215"/>
        <v/>
      </c>
      <c r="AE407" s="633" t="str">
        <f t="shared" si="216"/>
        <v/>
      </c>
      <c r="AF407" s="632" t="str">
        <f t="shared" si="228"/>
        <v/>
      </c>
      <c r="AG407" s="634" t="str">
        <f t="shared" si="217"/>
        <v/>
      </c>
      <c r="AH407" s="635" t="str">
        <f t="shared" si="229"/>
        <v/>
      </c>
      <c r="AI407" s="633" t="str">
        <f t="shared" si="218"/>
        <v/>
      </c>
      <c r="AJ407" s="632" t="str">
        <f t="shared" si="230"/>
        <v/>
      </c>
      <c r="AK407" s="636" t="str">
        <f t="shared" si="219"/>
        <v/>
      </c>
      <c r="AL407" s="637" t="str">
        <f t="shared" si="231"/>
        <v/>
      </c>
      <c r="AM407" s="633" t="str">
        <f t="shared" si="220"/>
        <v/>
      </c>
      <c r="AN407" s="38"/>
    </row>
    <row r="408" spans="1:40" ht="13.2" x14ac:dyDescent="0.25">
      <c r="A408" s="26"/>
      <c r="B408" s="38"/>
      <c r="C408" s="801"/>
      <c r="D408" s="802"/>
      <c r="E408" s="357"/>
      <c r="F408" s="357"/>
      <c r="G408" s="357"/>
      <c r="H408" s="357"/>
      <c r="I408" s="357"/>
      <c r="J408" s="357"/>
      <c r="K408" s="357"/>
      <c r="L408" s="611"/>
      <c r="M408" s="45"/>
      <c r="N408" s="632" t="str">
        <f t="shared" si="206"/>
        <v/>
      </c>
      <c r="O408" s="633" t="str">
        <f t="shared" si="207"/>
        <v/>
      </c>
      <c r="P408" s="632" t="str">
        <f t="shared" si="221"/>
        <v/>
      </c>
      <c r="Q408" s="634" t="str">
        <f t="shared" si="208"/>
        <v/>
      </c>
      <c r="R408" s="635" t="str">
        <f t="shared" si="222"/>
        <v/>
      </c>
      <c r="S408" s="633" t="str">
        <f t="shared" si="209"/>
        <v/>
      </c>
      <c r="T408" s="632" t="str">
        <f t="shared" si="223"/>
        <v/>
      </c>
      <c r="U408" s="634" t="str">
        <f t="shared" si="210"/>
        <v/>
      </c>
      <c r="V408" s="635" t="str">
        <f t="shared" si="224"/>
        <v/>
      </c>
      <c r="W408" s="633" t="str">
        <f t="shared" si="211"/>
        <v/>
      </c>
      <c r="X408" s="632" t="str">
        <f t="shared" si="225"/>
        <v/>
      </c>
      <c r="Y408" s="634" t="str">
        <f t="shared" si="212"/>
        <v/>
      </c>
      <c r="Z408" s="635" t="str">
        <f t="shared" si="226"/>
        <v/>
      </c>
      <c r="AA408" s="633" t="str">
        <f t="shared" si="213"/>
        <v/>
      </c>
      <c r="AB408" s="632" t="str">
        <f t="shared" si="227"/>
        <v/>
      </c>
      <c r="AC408" s="634" t="str">
        <f t="shared" si="214"/>
        <v/>
      </c>
      <c r="AD408" s="635" t="str">
        <f t="shared" si="215"/>
        <v/>
      </c>
      <c r="AE408" s="633" t="str">
        <f t="shared" si="216"/>
        <v/>
      </c>
      <c r="AF408" s="632" t="str">
        <f t="shared" si="228"/>
        <v/>
      </c>
      <c r="AG408" s="634" t="str">
        <f t="shared" si="217"/>
        <v/>
      </c>
      <c r="AH408" s="635" t="str">
        <f t="shared" si="229"/>
        <v/>
      </c>
      <c r="AI408" s="633" t="str">
        <f t="shared" si="218"/>
        <v/>
      </c>
      <c r="AJ408" s="632" t="str">
        <f t="shared" si="230"/>
        <v/>
      </c>
      <c r="AK408" s="636" t="str">
        <f t="shared" si="219"/>
        <v/>
      </c>
      <c r="AL408" s="637" t="str">
        <f t="shared" si="231"/>
        <v/>
      </c>
      <c r="AM408" s="633" t="str">
        <f t="shared" si="220"/>
        <v/>
      </c>
      <c r="AN408" s="38"/>
    </row>
    <row r="409" spans="1:40" ht="13.2" x14ac:dyDescent="0.25">
      <c r="A409" s="26"/>
      <c r="B409" s="38"/>
      <c r="C409" s="801"/>
      <c r="D409" s="802"/>
      <c r="E409" s="357"/>
      <c r="F409" s="357"/>
      <c r="G409" s="357"/>
      <c r="H409" s="357"/>
      <c r="I409" s="357"/>
      <c r="J409" s="357"/>
      <c r="K409" s="357"/>
      <c r="L409" s="611"/>
      <c r="M409" s="45"/>
      <c r="N409" s="632" t="str">
        <f t="shared" si="206"/>
        <v/>
      </c>
      <c r="O409" s="633" t="str">
        <f t="shared" si="207"/>
        <v/>
      </c>
      <c r="P409" s="632" t="str">
        <f t="shared" si="221"/>
        <v/>
      </c>
      <c r="Q409" s="634" t="str">
        <f t="shared" si="208"/>
        <v/>
      </c>
      <c r="R409" s="635" t="str">
        <f t="shared" si="222"/>
        <v/>
      </c>
      <c r="S409" s="633" t="str">
        <f t="shared" si="209"/>
        <v/>
      </c>
      <c r="T409" s="632" t="str">
        <f t="shared" si="223"/>
        <v/>
      </c>
      <c r="U409" s="634" t="str">
        <f t="shared" si="210"/>
        <v/>
      </c>
      <c r="V409" s="635" t="str">
        <f t="shared" si="224"/>
        <v/>
      </c>
      <c r="W409" s="633" t="str">
        <f t="shared" si="211"/>
        <v/>
      </c>
      <c r="X409" s="632" t="str">
        <f t="shared" si="225"/>
        <v/>
      </c>
      <c r="Y409" s="634" t="str">
        <f t="shared" si="212"/>
        <v/>
      </c>
      <c r="Z409" s="635" t="str">
        <f t="shared" si="226"/>
        <v/>
      </c>
      <c r="AA409" s="633" t="str">
        <f t="shared" si="213"/>
        <v/>
      </c>
      <c r="AB409" s="632" t="str">
        <f t="shared" si="227"/>
        <v/>
      </c>
      <c r="AC409" s="634" t="str">
        <f t="shared" si="214"/>
        <v/>
      </c>
      <c r="AD409" s="635" t="str">
        <f t="shared" si="215"/>
        <v/>
      </c>
      <c r="AE409" s="633" t="str">
        <f t="shared" si="216"/>
        <v/>
      </c>
      <c r="AF409" s="632" t="str">
        <f t="shared" si="228"/>
        <v/>
      </c>
      <c r="AG409" s="634" t="str">
        <f t="shared" si="217"/>
        <v/>
      </c>
      <c r="AH409" s="635" t="str">
        <f t="shared" si="229"/>
        <v/>
      </c>
      <c r="AI409" s="633" t="str">
        <f t="shared" si="218"/>
        <v/>
      </c>
      <c r="AJ409" s="632" t="str">
        <f t="shared" si="230"/>
        <v/>
      </c>
      <c r="AK409" s="636" t="str">
        <f t="shared" si="219"/>
        <v/>
      </c>
      <c r="AL409" s="637" t="str">
        <f t="shared" si="231"/>
        <v/>
      </c>
      <c r="AM409" s="633" t="str">
        <f t="shared" si="220"/>
        <v/>
      </c>
      <c r="AN409" s="38"/>
    </row>
    <row r="410" spans="1:40" ht="13.8" thickBot="1" x14ac:dyDescent="0.3">
      <c r="A410" s="26"/>
      <c r="B410" s="38"/>
      <c r="C410" s="805"/>
      <c r="D410" s="806"/>
      <c r="E410" s="474"/>
      <c r="F410" s="474"/>
      <c r="G410" s="474"/>
      <c r="H410" s="474"/>
      <c r="I410" s="474"/>
      <c r="J410" s="474"/>
      <c r="K410" s="474"/>
      <c r="L410" s="613"/>
      <c r="M410" s="45"/>
      <c r="N410" s="642" t="str">
        <f t="shared" si="206"/>
        <v/>
      </c>
      <c r="O410" s="646" t="str">
        <f t="shared" si="207"/>
        <v/>
      </c>
      <c r="P410" s="642" t="str">
        <f t="shared" si="221"/>
        <v/>
      </c>
      <c r="Q410" s="647" t="str">
        <f t="shared" si="208"/>
        <v/>
      </c>
      <c r="R410" s="648" t="str">
        <f t="shared" si="222"/>
        <v/>
      </c>
      <c r="S410" s="646" t="str">
        <f t="shared" si="209"/>
        <v/>
      </c>
      <c r="T410" s="642" t="str">
        <f t="shared" si="223"/>
        <v/>
      </c>
      <c r="U410" s="647" t="str">
        <f t="shared" si="210"/>
        <v/>
      </c>
      <c r="V410" s="648" t="str">
        <f t="shared" si="224"/>
        <v/>
      </c>
      <c r="W410" s="646" t="str">
        <f t="shared" si="211"/>
        <v/>
      </c>
      <c r="X410" s="642" t="str">
        <f t="shared" si="225"/>
        <v/>
      </c>
      <c r="Y410" s="647" t="str">
        <f t="shared" si="212"/>
        <v/>
      </c>
      <c r="Z410" s="648" t="str">
        <f t="shared" si="226"/>
        <v/>
      </c>
      <c r="AA410" s="646" t="str">
        <f t="shared" si="213"/>
        <v/>
      </c>
      <c r="AB410" s="642" t="str">
        <f t="shared" si="227"/>
        <v/>
      </c>
      <c r="AC410" s="647" t="str">
        <f t="shared" si="214"/>
        <v/>
      </c>
      <c r="AD410" s="648" t="str">
        <f t="shared" si="215"/>
        <v/>
      </c>
      <c r="AE410" s="646" t="str">
        <f t="shared" si="216"/>
        <v/>
      </c>
      <c r="AF410" s="642" t="str">
        <f t="shared" si="228"/>
        <v/>
      </c>
      <c r="AG410" s="647" t="str">
        <f t="shared" si="217"/>
        <v/>
      </c>
      <c r="AH410" s="648" t="str">
        <f t="shared" si="229"/>
        <v/>
      </c>
      <c r="AI410" s="646" t="str">
        <f t="shared" si="218"/>
        <v/>
      </c>
      <c r="AJ410" s="642" t="str">
        <f t="shared" si="230"/>
        <v/>
      </c>
      <c r="AK410" s="649" t="str">
        <f t="shared" si="219"/>
        <v/>
      </c>
      <c r="AL410" s="650" t="str">
        <f t="shared" si="231"/>
        <v/>
      </c>
      <c r="AM410" s="646" t="str">
        <f t="shared" si="220"/>
        <v/>
      </c>
      <c r="AN410" s="38"/>
    </row>
    <row r="411" spans="1:40" ht="13.8" thickTop="1" x14ac:dyDescent="0.25">
      <c r="A411" s="28"/>
      <c r="B411" s="38"/>
      <c r="C411" s="313"/>
      <c r="D411" s="313"/>
      <c r="E411" s="302"/>
      <c r="F411" s="302"/>
      <c r="G411" s="302"/>
      <c r="H411" s="302"/>
      <c r="I411" s="302"/>
      <c r="J411" s="302"/>
      <c r="K411" s="302"/>
      <c r="L411" s="302"/>
      <c r="M411" s="38"/>
      <c r="N411" s="305"/>
      <c r="O411" s="304"/>
      <c r="P411" s="303"/>
      <c r="Q411" s="304"/>
      <c r="R411" s="303"/>
      <c r="S411" s="304"/>
      <c r="T411" s="303"/>
      <c r="U411" s="304"/>
      <c r="V411" s="303"/>
      <c r="W411" s="304"/>
      <c r="X411" s="303"/>
      <c r="Y411" s="304"/>
      <c r="Z411" s="303"/>
      <c r="AA411" s="304"/>
      <c r="AB411" s="303"/>
      <c r="AC411" s="304"/>
      <c r="AD411" s="303"/>
      <c r="AE411" s="304"/>
      <c r="AF411" s="303"/>
      <c r="AG411" s="304"/>
      <c r="AH411" s="303"/>
      <c r="AI411" s="304"/>
      <c r="AJ411" s="303"/>
      <c r="AK411" s="304"/>
      <c r="AL411" s="303"/>
      <c r="AM411" s="304"/>
      <c r="AN411" s="38"/>
    </row>
    <row r="412" spans="1:40" s="179" customFormat="1" ht="12.75" customHeight="1" x14ac:dyDescent="0.25">
      <c r="A412" s="24"/>
      <c r="B412" s="24"/>
      <c r="C412" s="21"/>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row>
    <row r="413" spans="1:40" s="179" customFormat="1" ht="12.75" customHeight="1" x14ac:dyDescent="0.25">
      <c r="A413" s="24"/>
      <c r="B413" s="24"/>
      <c r="C413" s="21"/>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row>
    <row r="414" spans="1:40" s="179" customFormat="1" ht="12.75" customHeight="1" x14ac:dyDescent="0.25">
      <c r="A414" s="24"/>
      <c r="B414" s="24"/>
      <c r="C414" s="21"/>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row>
    <row r="415" spans="1:40" s="179" customFormat="1" ht="12.75" customHeight="1" x14ac:dyDescent="0.25">
      <c r="A415" s="24"/>
      <c r="B415" s="24"/>
      <c r="C415" s="21"/>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row>
    <row r="416" spans="1:40" s="179" customFormat="1" ht="12.75" customHeight="1" x14ac:dyDescent="0.25">
      <c r="A416" s="24"/>
      <c r="B416" s="24"/>
      <c r="C416" s="180"/>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row>
    <row r="417" spans="3:41" hidden="1" x14ac:dyDescent="0.2">
      <c r="C417" s="179" t="str">
        <f>C58</f>
        <v>Category</v>
      </c>
      <c r="D417" s="179" t="str">
        <f>D58</f>
        <v>Sub-category or Special Rate name</v>
      </c>
      <c r="E417" s="179"/>
      <c r="F417" s="179"/>
      <c r="G417" s="179"/>
      <c r="H417" s="179"/>
      <c r="I417" s="179"/>
      <c r="J417" s="179"/>
      <c r="K417" s="179"/>
      <c r="L417" s="179"/>
      <c r="M417" s="179"/>
      <c r="N417" s="179"/>
      <c r="O417" s="179"/>
      <c r="P417" s="179"/>
      <c r="Q417" s="179"/>
      <c r="R417" s="179"/>
      <c r="S417" s="179"/>
      <c r="T417" s="179"/>
      <c r="U417" s="179"/>
      <c r="V417" s="179"/>
      <c r="W417" s="179"/>
      <c r="X417" s="179"/>
      <c r="Y417" s="179"/>
      <c r="Z417" s="179"/>
      <c r="AA417" s="179"/>
      <c r="AB417" s="179"/>
      <c r="AC417" s="179"/>
      <c r="AD417" s="179"/>
      <c r="AE417" s="179"/>
      <c r="AF417" s="179"/>
      <c r="AG417" s="179"/>
      <c r="AH417" s="179"/>
      <c r="AI417" s="179"/>
      <c r="AJ417" s="179"/>
      <c r="AK417" s="179"/>
      <c r="AL417" s="179"/>
      <c r="AM417" s="179"/>
      <c r="AN417" s="179"/>
      <c r="AO417" s="179"/>
    </row>
    <row r="418" spans="3:41" hidden="1" x14ac:dyDescent="0.2">
      <c r="C418" s="179"/>
      <c r="D418" s="179"/>
      <c r="E418" s="655" t="str">
        <f>E400</f>
        <v>2017-18</v>
      </c>
      <c r="F418" s="655" t="str">
        <f t="shared" ref="F418:L418" si="232">F400</f>
        <v>2018-19</v>
      </c>
      <c r="G418" s="655" t="str">
        <f t="shared" si="232"/>
        <v>2019-20</v>
      </c>
      <c r="H418" s="655" t="str">
        <f t="shared" si="232"/>
        <v>2020-21</v>
      </c>
      <c r="I418" s="655" t="str">
        <f t="shared" si="232"/>
        <v>2021-22</v>
      </c>
      <c r="J418" s="655" t="str">
        <f t="shared" si="232"/>
        <v>2022-23</v>
      </c>
      <c r="K418" s="655" t="str">
        <f t="shared" si="232"/>
        <v>2023-24</v>
      </c>
      <c r="L418" s="655" t="str">
        <f t="shared" si="232"/>
        <v>2024-25</v>
      </c>
      <c r="M418" s="179"/>
      <c r="N418" s="179"/>
      <c r="O418" s="179"/>
      <c r="P418" s="179"/>
      <c r="Q418" s="179"/>
      <c r="R418" s="179"/>
      <c r="S418" s="179"/>
      <c r="T418" s="179"/>
      <c r="U418" s="179"/>
      <c r="V418" s="179"/>
      <c r="W418" s="179"/>
      <c r="X418" s="179"/>
      <c r="Y418" s="179"/>
      <c r="Z418" s="179"/>
      <c r="AA418" s="179"/>
      <c r="AB418" s="179"/>
      <c r="AC418" s="179"/>
      <c r="AD418" s="179"/>
      <c r="AE418" s="179"/>
      <c r="AF418" s="179"/>
      <c r="AG418" s="179"/>
      <c r="AH418" s="179"/>
      <c r="AI418" s="179"/>
      <c r="AJ418" s="179"/>
      <c r="AK418" s="179"/>
      <c r="AL418" s="179"/>
      <c r="AM418" s="179"/>
      <c r="AN418" s="179"/>
      <c r="AO418" s="179"/>
    </row>
    <row r="419" spans="3:41" hidden="1" x14ac:dyDescent="0.2">
      <c r="C419" s="179" t="str">
        <f t="shared" ref="C419:D439" si="233">C60</f>
        <v>Residential</v>
      </c>
      <c r="D419" s="179" t="str">
        <f t="shared" si="233"/>
        <v>Urban/Village</v>
      </c>
      <c r="E419" s="179"/>
      <c r="F419" s="179"/>
      <c r="G419" s="179">
        <f>G60*'WK3 - Notional GI Yr1 YIELD'!$D14</f>
        <v>15375889.6468722</v>
      </c>
      <c r="H419" s="179">
        <f>H60*'WK3 - Notional GI Yr1 YIELD'!$D14</f>
        <v>15760286.888044003</v>
      </c>
      <c r="I419" s="179">
        <f>I60*'WK3 - Notional GI Yr1 YIELD'!$D14</f>
        <v>16154294.0602451</v>
      </c>
      <c r="J419" s="179">
        <f>J60*'WK3 - Notional GI Yr1 YIELD'!$D14</f>
        <v>16558151.411751227</v>
      </c>
      <c r="K419" s="179">
        <f>K60*'WK3 - Notional GI Yr1 YIELD'!$D14</f>
        <v>0</v>
      </c>
      <c r="L419" s="179">
        <f>L60*'WK3 - Notional GI Yr1 YIELD'!$D14</f>
        <v>0</v>
      </c>
      <c r="M419" s="179"/>
      <c r="N419" s="179"/>
      <c r="O419" s="179"/>
      <c r="P419" s="179"/>
      <c r="Q419" s="179"/>
      <c r="R419" s="179"/>
      <c r="S419" s="179"/>
      <c r="T419" s="179"/>
      <c r="U419" s="179"/>
      <c r="V419" s="179"/>
      <c r="W419" s="179"/>
      <c r="X419" s="179"/>
      <c r="Y419" s="179"/>
      <c r="Z419" s="179"/>
      <c r="AA419" s="179"/>
      <c r="AB419" s="179"/>
      <c r="AC419" s="179"/>
      <c r="AD419" s="179"/>
      <c r="AE419" s="179"/>
      <c r="AF419" s="179"/>
      <c r="AG419" s="179"/>
      <c r="AH419" s="179"/>
      <c r="AI419" s="179"/>
      <c r="AJ419" s="179"/>
      <c r="AK419" s="179"/>
      <c r="AL419" s="179"/>
      <c r="AM419" s="179"/>
      <c r="AN419" s="179"/>
      <c r="AO419" s="179"/>
    </row>
    <row r="420" spans="3:41" hidden="1" x14ac:dyDescent="0.2">
      <c r="C420" s="179" t="str">
        <f t="shared" si="233"/>
        <v>Residential</v>
      </c>
      <c r="D420" s="179" t="str">
        <f t="shared" ref="D420:D438" si="234">D61</f>
        <v>Rural</v>
      </c>
      <c r="E420" s="179"/>
      <c r="F420" s="179"/>
      <c r="G420" s="179">
        <f>G61*'WK3 - Notional GI Yr1 YIELD'!$D15</f>
        <v>4541843.0969409989</v>
      </c>
      <c r="H420" s="179">
        <f>H61*'WK3 - Notional GI Yr1 YIELD'!$D15</f>
        <v>4655389.174364524</v>
      </c>
      <c r="I420" s="179">
        <f>I61*'WK3 - Notional GI Yr1 YIELD'!$D15</f>
        <v>4771773.9037236366</v>
      </c>
      <c r="J420" s="179">
        <f>J61*'WK3 - Notional GI Yr1 YIELD'!$D15</f>
        <v>4891068.2513167271</v>
      </c>
      <c r="K420" s="179">
        <f>K61*'WK3 - Notional GI Yr1 YIELD'!$D15</f>
        <v>0</v>
      </c>
      <c r="L420" s="179">
        <f>L61*'WK3 - Notional GI Yr1 YIELD'!$D15</f>
        <v>0</v>
      </c>
      <c r="M420" s="179"/>
      <c r="N420" s="179"/>
      <c r="O420" s="179"/>
      <c r="P420" s="179"/>
      <c r="Q420" s="179"/>
      <c r="R420" s="179"/>
      <c r="S420" s="179"/>
      <c r="T420" s="179"/>
      <c r="U420" s="179"/>
      <c r="V420" s="179"/>
      <c r="W420" s="179"/>
      <c r="X420" s="179"/>
      <c r="Y420" s="179"/>
      <c r="Z420" s="179"/>
      <c r="AA420" s="179"/>
      <c r="AB420" s="179"/>
      <c r="AC420" s="179"/>
      <c r="AD420" s="179"/>
      <c r="AE420" s="179"/>
      <c r="AF420" s="179"/>
      <c r="AG420" s="179"/>
      <c r="AH420" s="179"/>
      <c r="AI420" s="179"/>
      <c r="AJ420" s="179"/>
      <c r="AK420" s="179"/>
      <c r="AL420" s="179"/>
      <c r="AM420" s="179"/>
      <c r="AN420" s="179"/>
      <c r="AO420" s="179"/>
    </row>
    <row r="421" spans="3:41" hidden="1" x14ac:dyDescent="0.2">
      <c r="C421" s="179" t="str">
        <f t="shared" si="233"/>
        <v>Residential</v>
      </c>
      <c r="D421" s="179" t="str">
        <f t="shared" si="234"/>
        <v/>
      </c>
      <c r="E421" s="179"/>
      <c r="F421" s="179"/>
      <c r="G421" s="179">
        <f>G62*'WK3 - Notional GI Yr1 YIELD'!$D16</f>
        <v>0</v>
      </c>
      <c r="H421" s="179">
        <f>H62*'WK3 - Notional GI Yr1 YIELD'!$D16</f>
        <v>0</v>
      </c>
      <c r="I421" s="179">
        <f>I62*'WK3 - Notional GI Yr1 YIELD'!$D16</f>
        <v>0</v>
      </c>
      <c r="J421" s="179">
        <f>J62*'WK3 - Notional GI Yr1 YIELD'!$D16</f>
        <v>0</v>
      </c>
      <c r="K421" s="179">
        <f>K62*'WK3 - Notional GI Yr1 YIELD'!$D16</f>
        <v>0</v>
      </c>
      <c r="L421" s="179">
        <f>L62*'WK3 - Notional GI Yr1 YIELD'!$D16</f>
        <v>0</v>
      </c>
      <c r="M421" s="179"/>
      <c r="N421" s="179"/>
      <c r="O421" s="179"/>
      <c r="P421" s="179"/>
      <c r="Q421" s="179"/>
      <c r="R421" s="179"/>
      <c r="S421" s="179"/>
      <c r="T421" s="179"/>
      <c r="U421" s="179"/>
      <c r="V421" s="179"/>
      <c r="W421" s="179"/>
      <c r="X421" s="179"/>
      <c r="Y421" s="179"/>
      <c r="Z421" s="179"/>
      <c r="AA421" s="179"/>
      <c r="AB421" s="179"/>
      <c r="AC421" s="179"/>
      <c r="AD421" s="179"/>
      <c r="AE421" s="179"/>
      <c r="AF421" s="179"/>
      <c r="AG421" s="179"/>
      <c r="AH421" s="179"/>
      <c r="AI421" s="179"/>
      <c r="AJ421" s="179"/>
      <c r="AK421" s="179"/>
      <c r="AL421" s="179"/>
      <c r="AM421" s="179"/>
      <c r="AN421" s="179"/>
      <c r="AO421" s="179"/>
    </row>
    <row r="422" spans="3:41" hidden="1" x14ac:dyDescent="0.2">
      <c r="C422" s="179" t="str">
        <f t="shared" si="233"/>
        <v>Residential</v>
      </c>
      <c r="D422" s="179" t="str">
        <f t="shared" si="234"/>
        <v/>
      </c>
      <c r="E422" s="179"/>
      <c r="F422" s="179"/>
      <c r="G422" s="179">
        <f>G63*'WK3 - Notional GI Yr1 YIELD'!$D17</f>
        <v>0</v>
      </c>
      <c r="H422" s="179">
        <f>H63*'WK3 - Notional GI Yr1 YIELD'!$D17</f>
        <v>0</v>
      </c>
      <c r="I422" s="179">
        <f>I63*'WK3 - Notional GI Yr1 YIELD'!$D17</f>
        <v>0</v>
      </c>
      <c r="J422" s="179">
        <f>J63*'WK3 - Notional GI Yr1 YIELD'!$D17</f>
        <v>0</v>
      </c>
      <c r="K422" s="179">
        <f>K63*'WK3 - Notional GI Yr1 YIELD'!$D17</f>
        <v>0</v>
      </c>
      <c r="L422" s="179">
        <f>L63*'WK3 - Notional GI Yr1 YIELD'!$D17</f>
        <v>0</v>
      </c>
      <c r="M422" s="179"/>
      <c r="N422" s="179"/>
      <c r="O422" s="179"/>
      <c r="P422" s="179"/>
      <c r="Q422" s="179"/>
      <c r="R422" s="179"/>
      <c r="S422" s="179"/>
      <c r="T422" s="179"/>
      <c r="U422" s="179"/>
      <c r="V422" s="179"/>
      <c r="W422" s="179"/>
      <c r="X422" s="179"/>
      <c r="Y422" s="179"/>
      <c r="Z422" s="179"/>
      <c r="AA422" s="179"/>
      <c r="AB422" s="179"/>
      <c r="AC422" s="179"/>
      <c r="AD422" s="179"/>
      <c r="AE422" s="179"/>
      <c r="AF422" s="179"/>
      <c r="AG422" s="179"/>
      <c r="AH422" s="179"/>
      <c r="AI422" s="179"/>
      <c r="AJ422" s="179"/>
      <c r="AK422" s="179"/>
      <c r="AL422" s="179"/>
      <c r="AM422" s="179"/>
      <c r="AN422" s="179"/>
      <c r="AO422" s="179"/>
    </row>
    <row r="423" spans="3:41" hidden="1" x14ac:dyDescent="0.2">
      <c r="C423" s="179" t="str">
        <f t="shared" si="233"/>
        <v>Residential</v>
      </c>
      <c r="D423" s="179" t="str">
        <f t="shared" si="234"/>
        <v/>
      </c>
      <c r="E423" s="179"/>
      <c r="F423" s="179"/>
      <c r="G423" s="179">
        <f>G64*'WK3 - Notional GI Yr1 YIELD'!$D18</f>
        <v>0</v>
      </c>
      <c r="H423" s="179">
        <f>H64*'WK3 - Notional GI Yr1 YIELD'!$D18</f>
        <v>0</v>
      </c>
      <c r="I423" s="179">
        <f>I64*'WK3 - Notional GI Yr1 YIELD'!$D18</f>
        <v>0</v>
      </c>
      <c r="J423" s="179">
        <f>J64*'WK3 - Notional GI Yr1 YIELD'!$D18</f>
        <v>0</v>
      </c>
      <c r="K423" s="179">
        <f>K64*'WK3 - Notional GI Yr1 YIELD'!$D18</f>
        <v>0</v>
      </c>
      <c r="L423" s="179">
        <f>L64*'WK3 - Notional GI Yr1 YIELD'!$D18</f>
        <v>0</v>
      </c>
      <c r="M423" s="179"/>
      <c r="N423" s="179"/>
      <c r="O423" s="179"/>
      <c r="P423" s="179"/>
      <c r="Q423" s="179"/>
      <c r="R423" s="179"/>
      <c r="S423" s="179"/>
      <c r="T423" s="179"/>
      <c r="U423" s="179"/>
      <c r="V423" s="179"/>
      <c r="W423" s="179"/>
      <c r="X423" s="179"/>
      <c r="Y423" s="179"/>
      <c r="Z423" s="179"/>
      <c r="AA423" s="179"/>
      <c r="AB423" s="179"/>
      <c r="AC423" s="179"/>
      <c r="AD423" s="179"/>
      <c r="AE423" s="179"/>
      <c r="AF423" s="179"/>
      <c r="AG423" s="179"/>
      <c r="AH423" s="179"/>
      <c r="AI423" s="179"/>
      <c r="AJ423" s="179"/>
      <c r="AK423" s="179"/>
      <c r="AL423" s="179"/>
      <c r="AM423" s="179"/>
      <c r="AN423" s="179"/>
      <c r="AO423" s="179"/>
    </row>
    <row r="424" spans="3:41" hidden="1" x14ac:dyDescent="0.2">
      <c r="C424" s="179" t="str">
        <f t="shared" si="233"/>
        <v>Residential</v>
      </c>
      <c r="D424" s="179" t="str">
        <f t="shared" si="234"/>
        <v/>
      </c>
      <c r="E424" s="179"/>
      <c r="F424" s="179"/>
      <c r="G424" s="179">
        <f>G65*'WK3 - Notional GI Yr1 YIELD'!$D19</f>
        <v>0</v>
      </c>
      <c r="H424" s="179">
        <f>H65*'WK3 - Notional GI Yr1 YIELD'!$D19</f>
        <v>0</v>
      </c>
      <c r="I424" s="179">
        <f>I65*'WK3 - Notional GI Yr1 YIELD'!$D19</f>
        <v>0</v>
      </c>
      <c r="J424" s="179">
        <f>J65*'WK3 - Notional GI Yr1 YIELD'!$D19</f>
        <v>0</v>
      </c>
      <c r="K424" s="179">
        <f>K65*'WK3 - Notional GI Yr1 YIELD'!$D19</f>
        <v>0</v>
      </c>
      <c r="L424" s="179">
        <f>L65*'WK3 - Notional GI Yr1 YIELD'!$D19</f>
        <v>0</v>
      </c>
      <c r="M424" s="179"/>
      <c r="N424" s="179"/>
      <c r="O424" s="179"/>
      <c r="P424" s="179"/>
      <c r="Q424" s="179"/>
      <c r="R424" s="179"/>
      <c r="S424" s="179"/>
      <c r="T424" s="179"/>
      <c r="U424" s="179"/>
      <c r="V424" s="179"/>
      <c r="W424" s="179"/>
      <c r="X424" s="179"/>
      <c r="Y424" s="179"/>
      <c r="Z424" s="179"/>
      <c r="AA424" s="179"/>
      <c r="AB424" s="179"/>
      <c r="AC424" s="179"/>
      <c r="AD424" s="179"/>
      <c r="AE424" s="179"/>
      <c r="AF424" s="179"/>
      <c r="AG424" s="179"/>
      <c r="AH424" s="179"/>
      <c r="AI424" s="179"/>
      <c r="AJ424" s="179"/>
      <c r="AK424" s="179"/>
      <c r="AL424" s="179"/>
      <c r="AM424" s="179"/>
      <c r="AN424" s="179"/>
      <c r="AO424" s="179"/>
    </row>
    <row r="425" spans="3:41" hidden="1" x14ac:dyDescent="0.2">
      <c r="C425" s="179" t="str">
        <f t="shared" si="233"/>
        <v>Residential</v>
      </c>
      <c r="D425" s="179" t="str">
        <f t="shared" si="234"/>
        <v/>
      </c>
      <c r="E425" s="179"/>
      <c r="F425" s="179"/>
      <c r="G425" s="179">
        <f>G66*'WK3 - Notional GI Yr1 YIELD'!$D20</f>
        <v>0</v>
      </c>
      <c r="H425" s="179">
        <f>H66*'WK3 - Notional GI Yr1 YIELD'!$D20</f>
        <v>0</v>
      </c>
      <c r="I425" s="179">
        <f>I66*'WK3 - Notional GI Yr1 YIELD'!$D20</f>
        <v>0</v>
      </c>
      <c r="J425" s="179">
        <f>J66*'WK3 - Notional GI Yr1 YIELD'!$D20</f>
        <v>0</v>
      </c>
      <c r="K425" s="179">
        <f>K66*'WK3 - Notional GI Yr1 YIELD'!$D20</f>
        <v>0</v>
      </c>
      <c r="L425" s="179">
        <f>L66*'WK3 - Notional GI Yr1 YIELD'!$D20</f>
        <v>0</v>
      </c>
      <c r="M425" s="179"/>
      <c r="N425" s="179"/>
      <c r="O425" s="179"/>
      <c r="P425" s="179"/>
      <c r="Q425" s="179"/>
      <c r="R425" s="179"/>
      <c r="S425" s="179"/>
      <c r="T425" s="179"/>
      <c r="U425" s="179"/>
      <c r="V425" s="179"/>
      <c r="W425" s="179"/>
      <c r="X425" s="179"/>
      <c r="Y425" s="179"/>
      <c r="Z425" s="179"/>
      <c r="AA425" s="179"/>
      <c r="AB425" s="179"/>
      <c r="AC425" s="179"/>
      <c r="AD425" s="179"/>
      <c r="AE425" s="179"/>
      <c r="AF425" s="179"/>
      <c r="AG425" s="179"/>
      <c r="AH425" s="179"/>
      <c r="AI425" s="179"/>
      <c r="AJ425" s="179"/>
      <c r="AK425" s="179"/>
      <c r="AL425" s="179"/>
      <c r="AM425" s="179"/>
      <c r="AN425" s="179"/>
      <c r="AO425" s="179"/>
    </row>
    <row r="426" spans="3:41" hidden="1" x14ac:dyDescent="0.2">
      <c r="C426" s="179" t="str">
        <f t="shared" si="233"/>
        <v>Residential</v>
      </c>
      <c r="D426" s="179" t="str">
        <f t="shared" si="234"/>
        <v/>
      </c>
      <c r="E426" s="179"/>
      <c r="F426" s="179"/>
      <c r="G426" s="179">
        <f>G67*'WK3 - Notional GI Yr1 YIELD'!$D21</f>
        <v>0</v>
      </c>
      <c r="H426" s="179">
        <f>H67*'WK3 - Notional GI Yr1 YIELD'!$D21</f>
        <v>0</v>
      </c>
      <c r="I426" s="179">
        <f>I67*'WK3 - Notional GI Yr1 YIELD'!$D21</f>
        <v>0</v>
      </c>
      <c r="J426" s="179">
        <f>J67*'WK3 - Notional GI Yr1 YIELD'!$D21</f>
        <v>0</v>
      </c>
      <c r="K426" s="179">
        <f>K67*'WK3 - Notional GI Yr1 YIELD'!$D21</f>
        <v>0</v>
      </c>
      <c r="L426" s="179">
        <f>L67*'WK3 - Notional GI Yr1 YIELD'!$D21</f>
        <v>0</v>
      </c>
      <c r="M426" s="179"/>
      <c r="N426" s="179"/>
      <c r="O426" s="179"/>
      <c r="P426" s="179"/>
      <c r="Q426" s="179"/>
      <c r="R426" s="179"/>
      <c r="S426" s="179"/>
      <c r="T426" s="179"/>
      <c r="U426" s="179"/>
      <c r="V426" s="179"/>
      <c r="W426" s="179"/>
      <c r="X426" s="179"/>
      <c r="Y426" s="179"/>
      <c r="Z426" s="179"/>
      <c r="AA426" s="179"/>
      <c r="AB426" s="179"/>
      <c r="AC426" s="179"/>
      <c r="AD426" s="179"/>
      <c r="AE426" s="179"/>
      <c r="AF426" s="179"/>
      <c r="AG426" s="179"/>
      <c r="AH426" s="179"/>
      <c r="AI426" s="179"/>
      <c r="AJ426" s="179"/>
      <c r="AK426" s="179"/>
      <c r="AL426" s="179"/>
      <c r="AM426" s="179"/>
      <c r="AN426" s="179"/>
      <c r="AO426" s="179"/>
    </row>
    <row r="427" spans="3:41" hidden="1" x14ac:dyDescent="0.2">
      <c r="C427" s="179" t="str">
        <f t="shared" si="233"/>
        <v>Residential</v>
      </c>
      <c r="D427" s="179" t="str">
        <f t="shared" si="234"/>
        <v/>
      </c>
      <c r="E427" s="179"/>
      <c r="F427" s="179"/>
      <c r="G427" s="179">
        <f>G68*'WK3 - Notional GI Yr1 YIELD'!$D22</f>
        <v>0</v>
      </c>
      <c r="H427" s="179">
        <f>H68*'WK3 - Notional GI Yr1 YIELD'!$D22</f>
        <v>0</v>
      </c>
      <c r="I427" s="179">
        <f>I68*'WK3 - Notional GI Yr1 YIELD'!$D22</f>
        <v>0</v>
      </c>
      <c r="J427" s="179">
        <f>J68*'WK3 - Notional GI Yr1 YIELD'!$D22</f>
        <v>0</v>
      </c>
      <c r="K427" s="179">
        <f>K68*'WK3 - Notional GI Yr1 YIELD'!$D22</f>
        <v>0</v>
      </c>
      <c r="L427" s="179">
        <f>L68*'WK3 - Notional GI Yr1 YIELD'!$D22</f>
        <v>0</v>
      </c>
      <c r="M427" s="179"/>
      <c r="N427" s="179"/>
      <c r="O427" s="179"/>
      <c r="P427" s="179"/>
      <c r="Q427" s="179"/>
      <c r="R427" s="179"/>
      <c r="S427" s="179"/>
      <c r="T427" s="179"/>
      <c r="U427" s="179"/>
      <c r="V427" s="179"/>
      <c r="W427" s="179"/>
      <c r="X427" s="179"/>
      <c r="Y427" s="179"/>
      <c r="Z427" s="179"/>
      <c r="AA427" s="179"/>
      <c r="AB427" s="179"/>
      <c r="AC427" s="179"/>
      <c r="AD427" s="179"/>
      <c r="AE427" s="179"/>
      <c r="AF427" s="179"/>
      <c r="AG427" s="179"/>
      <c r="AH427" s="179"/>
      <c r="AI427" s="179"/>
      <c r="AJ427" s="179"/>
      <c r="AK427" s="179"/>
      <c r="AL427" s="179"/>
      <c r="AM427" s="179"/>
      <c r="AN427" s="179"/>
      <c r="AO427" s="179"/>
    </row>
    <row r="428" spans="3:41" hidden="1" x14ac:dyDescent="0.2">
      <c r="C428" s="179" t="str">
        <f t="shared" si="233"/>
        <v>Residential</v>
      </c>
      <c r="D428" s="179" t="str">
        <f t="shared" si="234"/>
        <v/>
      </c>
      <c r="E428" s="179"/>
      <c r="F428" s="179"/>
      <c r="G428" s="179">
        <f>G69*'WK3 - Notional GI Yr1 YIELD'!$D23</f>
        <v>0</v>
      </c>
      <c r="H428" s="179">
        <f>H69*'WK3 - Notional GI Yr1 YIELD'!$D23</f>
        <v>0</v>
      </c>
      <c r="I428" s="179">
        <f>I69*'WK3 - Notional GI Yr1 YIELD'!$D23</f>
        <v>0</v>
      </c>
      <c r="J428" s="179">
        <f>J69*'WK3 - Notional GI Yr1 YIELD'!$D23</f>
        <v>0</v>
      </c>
      <c r="K428" s="179">
        <f>K69*'WK3 - Notional GI Yr1 YIELD'!$D23</f>
        <v>0</v>
      </c>
      <c r="L428" s="179">
        <f>L69*'WK3 - Notional GI Yr1 YIELD'!$D23</f>
        <v>0</v>
      </c>
      <c r="M428" s="179"/>
      <c r="N428" s="179"/>
      <c r="O428" s="179"/>
      <c r="P428" s="179"/>
      <c r="Q428" s="179"/>
      <c r="R428" s="179"/>
      <c r="S428" s="179"/>
      <c r="T428" s="179"/>
      <c r="U428" s="179"/>
      <c r="V428" s="179"/>
      <c r="W428" s="179"/>
      <c r="X428" s="179"/>
      <c r="Y428" s="179"/>
      <c r="Z428" s="179"/>
      <c r="AA428" s="179"/>
      <c r="AB428" s="179"/>
      <c r="AC428" s="179"/>
      <c r="AD428" s="179"/>
      <c r="AE428" s="179"/>
      <c r="AF428" s="179"/>
      <c r="AG428" s="179"/>
      <c r="AH428" s="179"/>
      <c r="AI428" s="179"/>
      <c r="AJ428" s="179"/>
      <c r="AK428" s="179"/>
      <c r="AL428" s="179"/>
      <c r="AM428" s="179"/>
      <c r="AN428" s="179"/>
      <c r="AO428" s="179"/>
    </row>
    <row r="429" spans="3:41" hidden="1" x14ac:dyDescent="0.2">
      <c r="C429" s="179" t="str">
        <f t="shared" si="233"/>
        <v>Residential</v>
      </c>
      <c r="D429" s="179" t="str">
        <f t="shared" si="234"/>
        <v/>
      </c>
      <c r="E429" s="179"/>
      <c r="F429" s="179"/>
      <c r="G429" s="179">
        <f>G70*'WK3 - Notional GI Yr1 YIELD'!$D24</f>
        <v>0</v>
      </c>
      <c r="H429" s="179">
        <f>H70*'WK3 - Notional GI Yr1 YIELD'!$D24</f>
        <v>0</v>
      </c>
      <c r="I429" s="179">
        <f>I70*'WK3 - Notional GI Yr1 YIELD'!$D24</f>
        <v>0</v>
      </c>
      <c r="J429" s="179">
        <f>J70*'WK3 - Notional GI Yr1 YIELD'!$D24</f>
        <v>0</v>
      </c>
      <c r="K429" s="179">
        <f>K70*'WK3 - Notional GI Yr1 YIELD'!$D24</f>
        <v>0</v>
      </c>
      <c r="L429" s="179">
        <f>L70*'WK3 - Notional GI Yr1 YIELD'!$D24</f>
        <v>0</v>
      </c>
      <c r="M429" s="179"/>
      <c r="N429" s="179"/>
      <c r="O429" s="179"/>
      <c r="P429" s="179"/>
      <c r="Q429" s="179"/>
      <c r="R429" s="179"/>
      <c r="S429" s="179"/>
      <c r="T429" s="179"/>
      <c r="U429" s="179"/>
      <c r="V429" s="179"/>
      <c r="W429" s="179"/>
      <c r="X429" s="179"/>
      <c r="Y429" s="179"/>
      <c r="Z429" s="179"/>
      <c r="AA429" s="179"/>
      <c r="AB429" s="179"/>
      <c r="AC429" s="179"/>
      <c r="AD429" s="179"/>
      <c r="AE429" s="179"/>
      <c r="AF429" s="179"/>
      <c r="AG429" s="179"/>
      <c r="AH429" s="179"/>
      <c r="AI429" s="179"/>
      <c r="AJ429" s="179"/>
      <c r="AK429" s="179"/>
      <c r="AL429" s="179"/>
      <c r="AM429" s="179"/>
      <c r="AN429" s="179"/>
      <c r="AO429" s="179"/>
    </row>
    <row r="430" spans="3:41" hidden="1" x14ac:dyDescent="0.2">
      <c r="C430" s="179" t="str">
        <f t="shared" si="233"/>
        <v>Residential</v>
      </c>
      <c r="D430" s="179" t="str">
        <f t="shared" si="234"/>
        <v/>
      </c>
      <c r="E430" s="179"/>
      <c r="F430" s="179"/>
      <c r="G430" s="179">
        <f>G71*'WK3 - Notional GI Yr1 YIELD'!$D25</f>
        <v>0</v>
      </c>
      <c r="H430" s="179">
        <f>H71*'WK3 - Notional GI Yr1 YIELD'!$D25</f>
        <v>0</v>
      </c>
      <c r="I430" s="179">
        <f>I71*'WK3 - Notional GI Yr1 YIELD'!$D25</f>
        <v>0</v>
      </c>
      <c r="J430" s="179">
        <f>J71*'WK3 - Notional GI Yr1 YIELD'!$D25</f>
        <v>0</v>
      </c>
      <c r="K430" s="179">
        <f>K71*'WK3 - Notional GI Yr1 YIELD'!$D25</f>
        <v>0</v>
      </c>
      <c r="L430" s="179">
        <f>L71*'WK3 - Notional GI Yr1 YIELD'!$D25</f>
        <v>0</v>
      </c>
      <c r="M430" s="179"/>
      <c r="N430" s="179"/>
      <c r="O430" s="179"/>
      <c r="P430" s="179"/>
      <c r="Q430" s="179"/>
      <c r="R430" s="179"/>
      <c r="S430" s="179"/>
      <c r="T430" s="179"/>
      <c r="U430" s="179"/>
      <c r="V430" s="179"/>
      <c r="W430" s="179"/>
      <c r="X430" s="179"/>
      <c r="Y430" s="179"/>
      <c r="Z430" s="179"/>
      <c r="AA430" s="179"/>
      <c r="AB430" s="179"/>
      <c r="AC430" s="179"/>
      <c r="AD430" s="179"/>
      <c r="AE430" s="179"/>
      <c r="AF430" s="179"/>
      <c r="AG430" s="179"/>
      <c r="AH430" s="179"/>
      <c r="AI430" s="179"/>
      <c r="AJ430" s="179"/>
      <c r="AK430" s="179"/>
      <c r="AL430" s="179"/>
      <c r="AM430" s="179"/>
      <c r="AN430" s="179"/>
      <c r="AO430" s="179"/>
    </row>
    <row r="431" spans="3:41" hidden="1" x14ac:dyDescent="0.2">
      <c r="C431" s="179" t="str">
        <f t="shared" si="233"/>
        <v>Residential</v>
      </c>
      <c r="D431" s="179" t="str">
        <f t="shared" si="234"/>
        <v/>
      </c>
      <c r="E431" s="179"/>
      <c r="F431" s="179"/>
      <c r="G431" s="179">
        <f>G72*'WK3 - Notional GI Yr1 YIELD'!$D26</f>
        <v>0</v>
      </c>
      <c r="H431" s="179">
        <f>H72*'WK3 - Notional GI Yr1 YIELD'!$D26</f>
        <v>0</v>
      </c>
      <c r="I431" s="179">
        <f>I72*'WK3 - Notional GI Yr1 YIELD'!$D26</f>
        <v>0</v>
      </c>
      <c r="J431" s="179">
        <f>J72*'WK3 - Notional GI Yr1 YIELD'!$D26</f>
        <v>0</v>
      </c>
      <c r="K431" s="179">
        <f>K72*'WK3 - Notional GI Yr1 YIELD'!$D26</f>
        <v>0</v>
      </c>
      <c r="L431" s="179">
        <f>L72*'WK3 - Notional GI Yr1 YIELD'!$D26</f>
        <v>0</v>
      </c>
      <c r="M431" s="179"/>
      <c r="N431" s="179"/>
      <c r="O431" s="179"/>
      <c r="P431" s="179"/>
      <c r="Q431" s="179"/>
      <c r="R431" s="179"/>
      <c r="S431" s="179"/>
      <c r="T431" s="179"/>
      <c r="U431" s="179"/>
      <c r="V431" s="179"/>
      <c r="W431" s="179"/>
      <c r="X431" s="179"/>
      <c r="Y431" s="179"/>
      <c r="Z431" s="179"/>
      <c r="AA431" s="179"/>
      <c r="AB431" s="179"/>
      <c r="AC431" s="179"/>
      <c r="AD431" s="179"/>
      <c r="AE431" s="179"/>
      <c r="AF431" s="179"/>
      <c r="AG431" s="179"/>
      <c r="AH431" s="179"/>
      <c r="AI431" s="179"/>
      <c r="AJ431" s="179"/>
      <c r="AK431" s="179"/>
      <c r="AL431" s="179"/>
      <c r="AM431" s="179"/>
      <c r="AN431" s="179"/>
      <c r="AO431" s="179"/>
    </row>
    <row r="432" spans="3:41" hidden="1" x14ac:dyDescent="0.2">
      <c r="C432" s="179" t="str">
        <f t="shared" si="233"/>
        <v>Residential</v>
      </c>
      <c r="D432" s="179" t="str">
        <f t="shared" si="234"/>
        <v/>
      </c>
      <c r="E432" s="179"/>
      <c r="F432" s="179"/>
      <c r="G432" s="179">
        <f>G73*'WK3 - Notional GI Yr1 YIELD'!$D27</f>
        <v>0</v>
      </c>
      <c r="H432" s="179">
        <f>H73*'WK3 - Notional GI Yr1 YIELD'!$D27</f>
        <v>0</v>
      </c>
      <c r="I432" s="179">
        <f>I73*'WK3 - Notional GI Yr1 YIELD'!$D27</f>
        <v>0</v>
      </c>
      <c r="J432" s="179">
        <f>J73*'WK3 - Notional GI Yr1 YIELD'!$D27</f>
        <v>0</v>
      </c>
      <c r="K432" s="179">
        <f>K73*'WK3 - Notional GI Yr1 YIELD'!$D27</f>
        <v>0</v>
      </c>
      <c r="L432" s="179">
        <f>L73*'WK3 - Notional GI Yr1 YIELD'!$D27</f>
        <v>0</v>
      </c>
      <c r="M432" s="179"/>
      <c r="N432" s="179"/>
      <c r="O432" s="179"/>
      <c r="P432" s="179"/>
      <c r="Q432" s="179"/>
      <c r="R432" s="179"/>
      <c r="S432" s="179"/>
      <c r="T432" s="179"/>
      <c r="U432" s="179"/>
      <c r="V432" s="179"/>
      <c r="W432" s="179"/>
      <c r="X432" s="179"/>
      <c r="Y432" s="179"/>
      <c r="Z432" s="179"/>
      <c r="AA432" s="179"/>
      <c r="AB432" s="179"/>
      <c r="AC432" s="179"/>
      <c r="AD432" s="179"/>
      <c r="AE432" s="179"/>
      <c r="AF432" s="179"/>
      <c r="AG432" s="179"/>
      <c r="AH432" s="179"/>
      <c r="AI432" s="179"/>
      <c r="AJ432" s="179"/>
      <c r="AK432" s="179"/>
      <c r="AL432" s="179"/>
      <c r="AM432" s="179"/>
      <c r="AN432" s="179"/>
      <c r="AO432" s="179"/>
    </row>
    <row r="433" spans="3:41" hidden="1" x14ac:dyDescent="0.2">
      <c r="C433" s="179" t="str">
        <f t="shared" si="233"/>
        <v>Residential</v>
      </c>
      <c r="D433" s="179" t="str">
        <f t="shared" si="234"/>
        <v/>
      </c>
      <c r="E433" s="179"/>
      <c r="F433" s="179"/>
      <c r="G433" s="179">
        <f>G74*'WK3 - Notional GI Yr1 YIELD'!$D28</f>
        <v>0</v>
      </c>
      <c r="H433" s="179">
        <f>H74*'WK3 - Notional GI Yr1 YIELD'!$D28</f>
        <v>0</v>
      </c>
      <c r="I433" s="179">
        <f>I74*'WK3 - Notional GI Yr1 YIELD'!$D28</f>
        <v>0</v>
      </c>
      <c r="J433" s="179">
        <f>J74*'WK3 - Notional GI Yr1 YIELD'!$D28</f>
        <v>0</v>
      </c>
      <c r="K433" s="179">
        <f>K74*'WK3 - Notional GI Yr1 YIELD'!$D28</f>
        <v>0</v>
      </c>
      <c r="L433" s="179">
        <f>L74*'WK3 - Notional GI Yr1 YIELD'!$D28</f>
        <v>0</v>
      </c>
      <c r="M433" s="179"/>
      <c r="N433" s="179"/>
      <c r="O433" s="179"/>
      <c r="P433" s="179"/>
      <c r="Q433" s="179"/>
      <c r="R433" s="179"/>
      <c r="S433" s="179"/>
      <c r="T433" s="179"/>
      <c r="U433" s="179"/>
      <c r="V433" s="179"/>
      <c r="W433" s="179"/>
      <c r="X433" s="179"/>
      <c r="Y433" s="179"/>
      <c r="Z433" s="179"/>
      <c r="AA433" s="179"/>
      <c r="AB433" s="179"/>
      <c r="AC433" s="179"/>
      <c r="AD433" s="179"/>
      <c r="AE433" s="179"/>
      <c r="AF433" s="179"/>
      <c r="AG433" s="179"/>
      <c r="AH433" s="179"/>
      <c r="AI433" s="179"/>
      <c r="AJ433" s="179"/>
      <c r="AK433" s="179"/>
      <c r="AL433" s="179"/>
      <c r="AM433" s="179"/>
      <c r="AN433" s="179"/>
      <c r="AO433" s="179"/>
    </row>
    <row r="434" spans="3:41" hidden="1" x14ac:dyDescent="0.2">
      <c r="C434" s="179" t="str">
        <f t="shared" si="233"/>
        <v>Residential</v>
      </c>
      <c r="D434" s="179" t="str">
        <f t="shared" si="234"/>
        <v/>
      </c>
      <c r="E434" s="179"/>
      <c r="F434" s="179"/>
      <c r="G434" s="179">
        <f>G75*'WK3 - Notional GI Yr1 YIELD'!$D29</f>
        <v>0</v>
      </c>
      <c r="H434" s="179">
        <f>H75*'WK3 - Notional GI Yr1 YIELD'!$D29</f>
        <v>0</v>
      </c>
      <c r="I434" s="179">
        <f>I75*'WK3 - Notional GI Yr1 YIELD'!$D29</f>
        <v>0</v>
      </c>
      <c r="J434" s="179">
        <f>J75*'WK3 - Notional GI Yr1 YIELD'!$D29</f>
        <v>0</v>
      </c>
      <c r="K434" s="179">
        <f>K75*'WK3 - Notional GI Yr1 YIELD'!$D29</f>
        <v>0</v>
      </c>
      <c r="L434" s="179">
        <f>L75*'WK3 - Notional GI Yr1 YIELD'!$D29</f>
        <v>0</v>
      </c>
      <c r="M434" s="179"/>
      <c r="N434" s="179"/>
      <c r="O434" s="179"/>
      <c r="P434" s="179"/>
      <c r="Q434" s="179"/>
      <c r="R434" s="179"/>
      <c r="S434" s="179"/>
      <c r="T434" s="179"/>
      <c r="U434" s="179"/>
      <c r="V434" s="179"/>
      <c r="W434" s="179"/>
      <c r="X434" s="179"/>
      <c r="Y434" s="179"/>
      <c r="Z434" s="179"/>
      <c r="AA434" s="179"/>
      <c r="AB434" s="179"/>
      <c r="AC434" s="179"/>
      <c r="AD434" s="179"/>
      <c r="AE434" s="179"/>
      <c r="AF434" s="179"/>
      <c r="AG434" s="179"/>
      <c r="AH434" s="179"/>
      <c r="AI434" s="179"/>
      <c r="AJ434" s="179"/>
      <c r="AK434" s="179"/>
      <c r="AL434" s="179"/>
      <c r="AM434" s="179"/>
      <c r="AN434" s="179"/>
      <c r="AO434" s="179"/>
    </row>
    <row r="435" spans="3:41" hidden="1" x14ac:dyDescent="0.2">
      <c r="C435" s="179" t="str">
        <f t="shared" si="233"/>
        <v>Residential</v>
      </c>
      <c r="D435" s="179" t="str">
        <f t="shared" si="234"/>
        <v/>
      </c>
      <c r="E435" s="179"/>
      <c r="F435" s="179"/>
      <c r="G435" s="179">
        <f>G76*'WK3 - Notional GI Yr1 YIELD'!$D30</f>
        <v>0</v>
      </c>
      <c r="H435" s="179">
        <f>H76*'WK3 - Notional GI Yr1 YIELD'!$D30</f>
        <v>0</v>
      </c>
      <c r="I435" s="179">
        <f>I76*'WK3 - Notional GI Yr1 YIELD'!$D30</f>
        <v>0</v>
      </c>
      <c r="J435" s="179">
        <f>J76*'WK3 - Notional GI Yr1 YIELD'!$D30</f>
        <v>0</v>
      </c>
      <c r="K435" s="179">
        <f>K76*'WK3 - Notional GI Yr1 YIELD'!$D30</f>
        <v>0</v>
      </c>
      <c r="L435" s="179">
        <f>L76*'WK3 - Notional GI Yr1 YIELD'!$D30</f>
        <v>0</v>
      </c>
      <c r="M435" s="179"/>
      <c r="N435" s="179"/>
      <c r="O435" s="179"/>
      <c r="P435" s="179"/>
      <c r="Q435" s="179"/>
      <c r="R435" s="179"/>
      <c r="S435" s="179"/>
      <c r="T435" s="179"/>
      <c r="U435" s="179"/>
      <c r="V435" s="179"/>
      <c r="W435" s="179"/>
      <c r="X435" s="179"/>
      <c r="Y435" s="179"/>
      <c r="Z435" s="179"/>
      <c r="AA435" s="179"/>
      <c r="AB435" s="179"/>
      <c r="AC435" s="179"/>
      <c r="AD435" s="179"/>
      <c r="AE435" s="179"/>
      <c r="AF435" s="179"/>
      <c r="AG435" s="179"/>
      <c r="AH435" s="179"/>
      <c r="AI435" s="179"/>
      <c r="AJ435" s="179"/>
      <c r="AK435" s="179"/>
      <c r="AL435" s="179"/>
      <c r="AM435" s="179"/>
      <c r="AN435" s="179"/>
      <c r="AO435" s="179"/>
    </row>
    <row r="436" spans="3:41" hidden="1" x14ac:dyDescent="0.2">
      <c r="C436" s="179" t="str">
        <f t="shared" si="233"/>
        <v>Residential</v>
      </c>
      <c r="D436" s="179" t="str">
        <f t="shared" si="234"/>
        <v/>
      </c>
      <c r="E436" s="179"/>
      <c r="F436" s="179"/>
      <c r="G436" s="179">
        <f>G77*'WK3 - Notional GI Yr1 YIELD'!$D31</f>
        <v>0</v>
      </c>
      <c r="H436" s="179">
        <f>H77*'WK3 - Notional GI Yr1 YIELD'!$D31</f>
        <v>0</v>
      </c>
      <c r="I436" s="179">
        <f>I77*'WK3 - Notional GI Yr1 YIELD'!$D31</f>
        <v>0</v>
      </c>
      <c r="J436" s="179">
        <f>J77*'WK3 - Notional GI Yr1 YIELD'!$D31</f>
        <v>0</v>
      </c>
      <c r="K436" s="179">
        <f>K77*'WK3 - Notional GI Yr1 YIELD'!$D31</f>
        <v>0</v>
      </c>
      <c r="L436" s="179">
        <f>L77*'WK3 - Notional GI Yr1 YIELD'!$D31</f>
        <v>0</v>
      </c>
      <c r="M436" s="179"/>
      <c r="N436" s="179"/>
      <c r="O436" s="179"/>
      <c r="P436" s="179"/>
      <c r="Q436" s="179"/>
      <c r="R436" s="179"/>
      <c r="S436" s="179"/>
      <c r="T436" s="179"/>
      <c r="U436" s="179"/>
      <c r="V436" s="179"/>
      <c r="W436" s="179"/>
      <c r="X436" s="179"/>
      <c r="Y436" s="179"/>
      <c r="Z436" s="179"/>
      <c r="AA436" s="179"/>
      <c r="AB436" s="179"/>
      <c r="AC436" s="179"/>
      <c r="AD436" s="179"/>
      <c r="AE436" s="179"/>
      <c r="AF436" s="179"/>
      <c r="AG436" s="179"/>
      <c r="AH436" s="179"/>
      <c r="AI436" s="179"/>
      <c r="AJ436" s="179"/>
      <c r="AK436" s="179"/>
      <c r="AL436" s="179"/>
      <c r="AM436" s="179"/>
      <c r="AN436" s="179"/>
      <c r="AO436" s="179"/>
    </row>
    <row r="437" spans="3:41" hidden="1" x14ac:dyDescent="0.2">
      <c r="C437" s="179" t="str">
        <f t="shared" si="233"/>
        <v>Residential</v>
      </c>
      <c r="D437" s="179" t="str">
        <f t="shared" si="234"/>
        <v/>
      </c>
      <c r="E437" s="179"/>
      <c r="F437" s="179"/>
      <c r="G437" s="179">
        <f>G78*'WK3 - Notional GI Yr1 YIELD'!$D32</f>
        <v>0</v>
      </c>
      <c r="H437" s="179">
        <f>H78*'WK3 - Notional GI Yr1 YIELD'!$D32</f>
        <v>0</v>
      </c>
      <c r="I437" s="179">
        <f>I78*'WK3 - Notional GI Yr1 YIELD'!$D32</f>
        <v>0</v>
      </c>
      <c r="J437" s="179">
        <f>J78*'WK3 - Notional GI Yr1 YIELD'!$D32</f>
        <v>0</v>
      </c>
      <c r="K437" s="179">
        <f>K78*'WK3 - Notional GI Yr1 YIELD'!$D32</f>
        <v>0</v>
      </c>
      <c r="L437" s="179">
        <f>L78*'WK3 - Notional GI Yr1 YIELD'!$D32</f>
        <v>0</v>
      </c>
      <c r="M437" s="179"/>
      <c r="N437" s="179"/>
      <c r="O437" s="179"/>
      <c r="P437" s="179"/>
      <c r="Q437" s="179"/>
      <c r="R437" s="179"/>
      <c r="S437" s="179"/>
      <c r="T437" s="179"/>
      <c r="U437" s="179"/>
      <c r="V437" s="179"/>
      <c r="W437" s="179"/>
      <c r="X437" s="179"/>
      <c r="Y437" s="179"/>
      <c r="Z437" s="179"/>
      <c r="AA437" s="179"/>
      <c r="AB437" s="179"/>
      <c r="AC437" s="179"/>
      <c r="AD437" s="179"/>
      <c r="AE437" s="179"/>
      <c r="AF437" s="179"/>
      <c r="AG437" s="179"/>
      <c r="AH437" s="179"/>
      <c r="AI437" s="179"/>
      <c r="AJ437" s="179"/>
      <c r="AK437" s="179"/>
      <c r="AL437" s="179"/>
      <c r="AM437" s="179"/>
      <c r="AN437" s="179"/>
      <c r="AO437" s="179"/>
    </row>
    <row r="438" spans="3:41" hidden="1" x14ac:dyDescent="0.2">
      <c r="C438" s="179" t="str">
        <f t="shared" si="233"/>
        <v>Residential</v>
      </c>
      <c r="D438" s="179" t="str">
        <f t="shared" si="234"/>
        <v/>
      </c>
      <c r="E438" s="179"/>
      <c r="F438" s="179"/>
      <c r="G438" s="179">
        <f>G79*'WK3 - Notional GI Yr1 YIELD'!$D33</f>
        <v>0</v>
      </c>
      <c r="H438" s="179">
        <f>H79*'WK3 - Notional GI Yr1 YIELD'!$D33</f>
        <v>0</v>
      </c>
      <c r="I438" s="179">
        <f>I79*'WK3 - Notional GI Yr1 YIELD'!$D33</f>
        <v>0</v>
      </c>
      <c r="J438" s="179">
        <f>J79*'WK3 - Notional GI Yr1 YIELD'!$D33</f>
        <v>0</v>
      </c>
      <c r="K438" s="179">
        <f>K79*'WK3 - Notional GI Yr1 YIELD'!$D33</f>
        <v>0</v>
      </c>
      <c r="L438" s="179">
        <f>L79*'WK3 - Notional GI Yr1 YIELD'!$D33</f>
        <v>0</v>
      </c>
      <c r="M438" s="179"/>
      <c r="N438" s="179"/>
      <c r="O438" s="179"/>
      <c r="P438" s="179"/>
      <c r="Q438" s="179"/>
      <c r="R438" s="179"/>
      <c r="S438" s="179"/>
      <c r="T438" s="179"/>
      <c r="U438" s="179"/>
      <c r="V438" s="179"/>
      <c r="W438" s="179"/>
      <c r="X438" s="179"/>
      <c r="Y438" s="179"/>
      <c r="Z438" s="179"/>
      <c r="AA438" s="179"/>
      <c r="AB438" s="179"/>
      <c r="AC438" s="179"/>
      <c r="AD438" s="179"/>
      <c r="AE438" s="179"/>
      <c r="AF438" s="179"/>
      <c r="AG438" s="179"/>
      <c r="AH438" s="179"/>
      <c r="AI438" s="179"/>
      <c r="AJ438" s="179"/>
      <c r="AK438" s="179"/>
      <c r="AL438" s="179"/>
      <c r="AM438" s="179"/>
      <c r="AN438" s="179"/>
      <c r="AO438" s="179"/>
    </row>
    <row r="439" spans="3:41" hidden="1" x14ac:dyDescent="0.2">
      <c r="C439" s="179" t="str">
        <f t="shared" si="233"/>
        <v>Special rate</v>
      </c>
      <c r="D439" s="179" t="str">
        <f t="shared" si="233"/>
        <v/>
      </c>
      <c r="E439" s="179"/>
      <c r="F439" s="179"/>
      <c r="G439" s="179">
        <f>G80*'WK3 - Notional GI Yr1 YIELD'!$D92</f>
        <v>0</v>
      </c>
      <c r="H439" s="179">
        <f>H80*'WK3 - Notional GI Yr1 YIELD'!$D92</f>
        <v>0</v>
      </c>
      <c r="I439" s="179">
        <f>I80*'WK3 - Notional GI Yr1 YIELD'!$D92</f>
        <v>0</v>
      </c>
      <c r="J439" s="179">
        <f>J80*'WK3 - Notional GI Yr1 YIELD'!$D92</f>
        <v>0</v>
      </c>
      <c r="K439" s="179">
        <f>K80*'WK3 - Notional GI Yr1 YIELD'!$D92</f>
        <v>0</v>
      </c>
      <c r="L439" s="179">
        <f>L80*'WK3 - Notional GI Yr1 YIELD'!$D92</f>
        <v>0</v>
      </c>
      <c r="M439" s="179"/>
      <c r="N439" s="179"/>
      <c r="O439" s="179"/>
      <c r="P439" s="179"/>
      <c r="Q439" s="179"/>
      <c r="R439" s="179"/>
      <c r="S439" s="179"/>
      <c r="T439" s="179"/>
      <c r="U439" s="179"/>
      <c r="V439" s="179"/>
      <c r="W439" s="179"/>
      <c r="X439" s="179"/>
      <c r="Y439" s="179"/>
      <c r="Z439" s="179"/>
      <c r="AA439" s="179"/>
      <c r="AB439" s="179"/>
      <c r="AC439" s="179"/>
      <c r="AD439" s="179"/>
      <c r="AE439" s="179"/>
      <c r="AF439" s="179"/>
      <c r="AG439" s="179"/>
      <c r="AH439" s="179"/>
      <c r="AI439" s="179"/>
      <c r="AJ439" s="179"/>
      <c r="AK439" s="179"/>
      <c r="AL439" s="179"/>
      <c r="AM439" s="179"/>
      <c r="AN439" s="179"/>
      <c r="AO439" s="179"/>
    </row>
    <row r="440" spans="3:41" hidden="1" x14ac:dyDescent="0.2">
      <c r="C440" s="179" t="str">
        <f t="shared" ref="C440:C445" si="235">C82</f>
        <v>Special rate</v>
      </c>
      <c r="D440" s="179" t="str">
        <f t="shared" ref="D440:D448" si="236">D81</f>
        <v/>
      </c>
      <c r="E440" s="179"/>
      <c r="F440" s="179"/>
      <c r="G440" s="179">
        <f>G81*'WK3 - Notional GI Yr1 YIELD'!$D93</f>
        <v>0</v>
      </c>
      <c r="H440" s="179">
        <f>H81*'WK3 - Notional GI Yr1 YIELD'!$D93</f>
        <v>0</v>
      </c>
      <c r="I440" s="179">
        <f>I81*'WK3 - Notional GI Yr1 YIELD'!$D93</f>
        <v>0</v>
      </c>
      <c r="J440" s="179">
        <f>J81*'WK3 - Notional GI Yr1 YIELD'!$D93</f>
        <v>0</v>
      </c>
      <c r="K440" s="179">
        <f>K81*'WK3 - Notional GI Yr1 YIELD'!$D93</f>
        <v>0</v>
      </c>
      <c r="L440" s="179">
        <f>L81*'WK3 - Notional GI Yr1 YIELD'!$D93</f>
        <v>0</v>
      </c>
      <c r="M440" s="179"/>
      <c r="N440" s="179"/>
      <c r="O440" s="179"/>
      <c r="P440" s="179"/>
      <c r="Q440" s="179"/>
      <c r="R440" s="179"/>
      <c r="S440" s="179"/>
      <c r="T440" s="179"/>
      <c r="U440" s="179"/>
      <c r="V440" s="179"/>
      <c r="W440" s="179"/>
      <c r="X440" s="179"/>
      <c r="Y440" s="179"/>
      <c r="Z440" s="179"/>
      <c r="AA440" s="179"/>
      <c r="AB440" s="179"/>
      <c r="AC440" s="179"/>
      <c r="AD440" s="179"/>
      <c r="AE440" s="179"/>
      <c r="AF440" s="179"/>
      <c r="AG440" s="179"/>
      <c r="AH440" s="179"/>
      <c r="AI440" s="179"/>
      <c r="AJ440" s="179"/>
      <c r="AK440" s="179"/>
      <c r="AL440" s="179"/>
      <c r="AM440" s="179"/>
      <c r="AN440" s="179"/>
      <c r="AO440" s="179"/>
    </row>
    <row r="441" spans="3:41" hidden="1" x14ac:dyDescent="0.2">
      <c r="C441" s="179" t="str">
        <f t="shared" si="235"/>
        <v>Special rate</v>
      </c>
      <c r="D441" s="179" t="str">
        <f t="shared" si="236"/>
        <v/>
      </c>
      <c r="E441" s="179"/>
      <c r="F441" s="179"/>
      <c r="G441" s="179">
        <f>G82*'WK3 - Notional GI Yr1 YIELD'!$D94</f>
        <v>0</v>
      </c>
      <c r="H441" s="179">
        <f>H82*'WK3 - Notional GI Yr1 YIELD'!$D94</f>
        <v>0</v>
      </c>
      <c r="I441" s="179">
        <f>I82*'WK3 - Notional GI Yr1 YIELD'!$D94</f>
        <v>0</v>
      </c>
      <c r="J441" s="179">
        <f>J82*'WK3 - Notional GI Yr1 YIELD'!$D94</f>
        <v>0</v>
      </c>
      <c r="K441" s="179">
        <f>K82*'WK3 - Notional GI Yr1 YIELD'!$D94</f>
        <v>0</v>
      </c>
      <c r="L441" s="179">
        <f>L82*'WK3 - Notional GI Yr1 YIELD'!$D94</f>
        <v>0</v>
      </c>
      <c r="M441" s="179"/>
      <c r="N441" s="179"/>
      <c r="O441" s="179"/>
      <c r="P441" s="179"/>
      <c r="Q441" s="179"/>
      <c r="R441" s="179"/>
      <c r="S441" s="179"/>
      <c r="T441" s="179"/>
      <c r="U441" s="179"/>
      <c r="V441" s="179"/>
      <c r="W441" s="179"/>
      <c r="X441" s="179"/>
      <c r="Y441" s="179"/>
      <c r="Z441" s="179"/>
      <c r="AA441" s="179"/>
      <c r="AB441" s="179"/>
      <c r="AC441" s="179"/>
      <c r="AD441" s="179"/>
      <c r="AE441" s="179"/>
      <c r="AF441" s="179"/>
      <c r="AG441" s="179"/>
      <c r="AH441" s="179"/>
      <c r="AI441" s="179"/>
      <c r="AJ441" s="179"/>
      <c r="AK441" s="179"/>
      <c r="AL441" s="179"/>
      <c r="AM441" s="179"/>
      <c r="AN441" s="179"/>
      <c r="AO441" s="179"/>
    </row>
    <row r="442" spans="3:41" hidden="1" x14ac:dyDescent="0.2">
      <c r="C442" s="179" t="str">
        <f t="shared" si="235"/>
        <v>Special rate</v>
      </c>
      <c r="D442" s="179" t="str">
        <f t="shared" si="236"/>
        <v/>
      </c>
      <c r="E442" s="179"/>
      <c r="F442" s="179"/>
      <c r="G442" s="179">
        <f>G83*'WK3 - Notional GI Yr1 YIELD'!$D95</f>
        <v>0</v>
      </c>
      <c r="H442" s="179">
        <f>H83*'WK3 - Notional GI Yr1 YIELD'!$D95</f>
        <v>0</v>
      </c>
      <c r="I442" s="179">
        <f>I83*'WK3 - Notional GI Yr1 YIELD'!$D95</f>
        <v>0</v>
      </c>
      <c r="J442" s="179">
        <f>J83*'WK3 - Notional GI Yr1 YIELD'!$D95</f>
        <v>0</v>
      </c>
      <c r="K442" s="179">
        <f>K83*'WK3 - Notional GI Yr1 YIELD'!$D95</f>
        <v>0</v>
      </c>
      <c r="L442" s="179">
        <f>L83*'WK3 - Notional GI Yr1 YIELD'!$D95</f>
        <v>0</v>
      </c>
      <c r="M442" s="179"/>
      <c r="N442" s="179"/>
      <c r="O442" s="179"/>
      <c r="P442" s="179"/>
      <c r="Q442" s="179"/>
      <c r="R442" s="179"/>
      <c r="S442" s="179"/>
      <c r="T442" s="179"/>
      <c r="U442" s="179"/>
      <c r="V442" s="179"/>
      <c r="W442" s="179"/>
      <c r="X442" s="179"/>
      <c r="Y442" s="179"/>
      <c r="Z442" s="179"/>
      <c r="AA442" s="179"/>
      <c r="AB442" s="179"/>
      <c r="AC442" s="179"/>
      <c r="AD442" s="179"/>
      <c r="AE442" s="179"/>
      <c r="AF442" s="179"/>
      <c r="AG442" s="179"/>
      <c r="AH442" s="179"/>
      <c r="AI442" s="179"/>
      <c r="AJ442" s="179"/>
      <c r="AK442" s="179"/>
      <c r="AL442" s="179"/>
      <c r="AM442" s="179"/>
      <c r="AN442" s="179"/>
      <c r="AO442" s="179"/>
    </row>
    <row r="443" spans="3:41" hidden="1" x14ac:dyDescent="0.2">
      <c r="C443" s="179" t="str">
        <f t="shared" si="235"/>
        <v>Special rate</v>
      </c>
      <c r="D443" s="179" t="str">
        <f t="shared" si="236"/>
        <v/>
      </c>
      <c r="E443" s="179"/>
      <c r="F443" s="179"/>
      <c r="G443" s="179">
        <f>G84*'WK3 - Notional GI Yr1 YIELD'!$D96</f>
        <v>0</v>
      </c>
      <c r="H443" s="179">
        <f>H84*'WK3 - Notional GI Yr1 YIELD'!$D96</f>
        <v>0</v>
      </c>
      <c r="I443" s="179">
        <f>I84*'WK3 - Notional GI Yr1 YIELD'!$D96</f>
        <v>0</v>
      </c>
      <c r="J443" s="179">
        <f>J84*'WK3 - Notional GI Yr1 YIELD'!$D96</f>
        <v>0</v>
      </c>
      <c r="K443" s="179">
        <f>K84*'WK3 - Notional GI Yr1 YIELD'!$D96</f>
        <v>0</v>
      </c>
      <c r="L443" s="179">
        <f>L84*'WK3 - Notional GI Yr1 YIELD'!$D96</f>
        <v>0</v>
      </c>
      <c r="M443" s="179"/>
      <c r="N443" s="179"/>
      <c r="O443" s="179"/>
      <c r="P443" s="179"/>
      <c r="Q443" s="179"/>
      <c r="R443" s="179"/>
      <c r="S443" s="179"/>
      <c r="T443" s="179"/>
      <c r="U443" s="179"/>
      <c r="V443" s="179"/>
      <c r="W443" s="179"/>
      <c r="X443" s="179"/>
      <c r="Y443" s="179"/>
      <c r="Z443" s="179"/>
      <c r="AA443" s="179"/>
      <c r="AB443" s="179"/>
      <c r="AC443" s="179"/>
      <c r="AD443" s="179"/>
      <c r="AE443" s="179"/>
      <c r="AF443" s="179"/>
      <c r="AG443" s="179"/>
      <c r="AH443" s="179"/>
      <c r="AI443" s="179"/>
      <c r="AJ443" s="179"/>
      <c r="AK443" s="179"/>
      <c r="AL443" s="179"/>
      <c r="AM443" s="179"/>
      <c r="AN443" s="179"/>
      <c r="AO443" s="179"/>
    </row>
    <row r="444" spans="3:41" hidden="1" x14ac:dyDescent="0.2">
      <c r="C444" s="179" t="str">
        <f t="shared" si="235"/>
        <v>Special rate</v>
      </c>
      <c r="D444" s="179" t="str">
        <f t="shared" si="236"/>
        <v/>
      </c>
      <c r="E444" s="179"/>
      <c r="F444" s="179"/>
      <c r="G444" s="179">
        <f>G85*'WK3 - Notional GI Yr1 YIELD'!$D97</f>
        <v>0</v>
      </c>
      <c r="H444" s="179">
        <f>H85*'WK3 - Notional GI Yr1 YIELD'!$D97</f>
        <v>0</v>
      </c>
      <c r="I444" s="179">
        <f>I85*'WK3 - Notional GI Yr1 YIELD'!$D97</f>
        <v>0</v>
      </c>
      <c r="J444" s="179">
        <f>J85*'WK3 - Notional GI Yr1 YIELD'!$D97</f>
        <v>0</v>
      </c>
      <c r="K444" s="179">
        <f>K85*'WK3 - Notional GI Yr1 YIELD'!$D97</f>
        <v>0</v>
      </c>
      <c r="L444" s="179">
        <f>L85*'WK3 - Notional GI Yr1 YIELD'!$D97</f>
        <v>0</v>
      </c>
      <c r="M444" s="179"/>
      <c r="N444" s="179"/>
      <c r="O444" s="179"/>
      <c r="P444" s="179"/>
      <c r="Q444" s="179"/>
      <c r="R444" s="179"/>
      <c r="S444" s="179"/>
      <c r="T444" s="179"/>
      <c r="U444" s="179"/>
      <c r="V444" s="179"/>
      <c r="W444" s="179"/>
      <c r="X444" s="179"/>
      <c r="Y444" s="179"/>
      <c r="Z444" s="179"/>
      <c r="AA444" s="179"/>
      <c r="AB444" s="179"/>
      <c r="AC444" s="179"/>
      <c r="AD444" s="179"/>
      <c r="AE444" s="179"/>
      <c r="AF444" s="179"/>
      <c r="AG444" s="179"/>
      <c r="AH444" s="179"/>
      <c r="AI444" s="179"/>
      <c r="AJ444" s="179"/>
      <c r="AK444" s="179"/>
      <c r="AL444" s="179"/>
      <c r="AM444" s="179"/>
      <c r="AN444" s="179"/>
      <c r="AO444" s="179"/>
    </row>
    <row r="445" spans="3:41" hidden="1" x14ac:dyDescent="0.2">
      <c r="C445" s="179" t="str">
        <f t="shared" si="235"/>
        <v>Special rate</v>
      </c>
      <c r="D445" s="179" t="str">
        <f t="shared" si="236"/>
        <v/>
      </c>
      <c r="E445" s="179"/>
      <c r="F445" s="179"/>
      <c r="G445" s="179">
        <f>G86*'WK3 - Notional GI Yr1 YIELD'!$D98</f>
        <v>0</v>
      </c>
      <c r="H445" s="179">
        <f>H86*'WK3 - Notional GI Yr1 YIELD'!$D98</f>
        <v>0</v>
      </c>
      <c r="I445" s="179">
        <f>I86*'WK3 - Notional GI Yr1 YIELD'!$D98</f>
        <v>0</v>
      </c>
      <c r="J445" s="179">
        <f>J86*'WK3 - Notional GI Yr1 YIELD'!$D98</f>
        <v>0</v>
      </c>
      <c r="K445" s="179">
        <f>K86*'WK3 - Notional GI Yr1 YIELD'!$D98</f>
        <v>0</v>
      </c>
      <c r="L445" s="179">
        <f>L86*'WK3 - Notional GI Yr1 YIELD'!$D98</f>
        <v>0</v>
      </c>
      <c r="M445" s="179"/>
      <c r="N445" s="179"/>
      <c r="O445" s="179"/>
      <c r="P445" s="179"/>
      <c r="Q445" s="179"/>
      <c r="R445" s="179"/>
      <c r="S445" s="179"/>
      <c r="T445" s="179"/>
      <c r="U445" s="179"/>
      <c r="V445" s="179"/>
      <c r="W445" s="179"/>
      <c r="X445" s="179"/>
      <c r="Y445" s="179"/>
      <c r="Z445" s="179"/>
      <c r="AA445" s="179"/>
      <c r="AB445" s="179"/>
      <c r="AC445" s="179"/>
      <c r="AD445" s="179"/>
      <c r="AE445" s="179"/>
      <c r="AF445" s="179"/>
      <c r="AG445" s="179"/>
      <c r="AH445" s="179"/>
      <c r="AI445" s="179"/>
      <c r="AJ445" s="179"/>
      <c r="AK445" s="179"/>
      <c r="AL445" s="179"/>
      <c r="AM445" s="179"/>
      <c r="AN445" s="179"/>
      <c r="AO445" s="179"/>
    </row>
    <row r="446" spans="3:41" hidden="1" x14ac:dyDescent="0.2">
      <c r="C446" s="179" t="str">
        <f>C81</f>
        <v>Special rate</v>
      </c>
      <c r="D446" s="179" t="str">
        <f t="shared" si="236"/>
        <v/>
      </c>
      <c r="E446" s="179"/>
      <c r="F446" s="179"/>
      <c r="G446" s="179">
        <f>G87*'WK3 - Notional GI Yr1 YIELD'!$D99</f>
        <v>0</v>
      </c>
      <c r="H446" s="179">
        <f>H87*'WK3 - Notional GI Yr1 YIELD'!$D99</f>
        <v>0</v>
      </c>
      <c r="I446" s="179">
        <f>I87*'WK3 - Notional GI Yr1 YIELD'!$D99</f>
        <v>0</v>
      </c>
      <c r="J446" s="179">
        <f>J87*'WK3 - Notional GI Yr1 YIELD'!$D99</f>
        <v>0</v>
      </c>
      <c r="K446" s="179">
        <f>K87*'WK3 - Notional GI Yr1 YIELD'!$D99</f>
        <v>0</v>
      </c>
      <c r="L446" s="179">
        <f>L87*'WK3 - Notional GI Yr1 YIELD'!$D99</f>
        <v>0</v>
      </c>
      <c r="M446" s="179"/>
      <c r="N446" s="179"/>
      <c r="O446" s="179"/>
      <c r="P446" s="179"/>
      <c r="Q446" s="179"/>
      <c r="R446" s="179"/>
      <c r="S446" s="179"/>
      <c r="T446" s="179"/>
      <c r="U446" s="179"/>
      <c r="V446" s="179"/>
      <c r="W446" s="179"/>
      <c r="X446" s="179"/>
      <c r="Y446" s="179"/>
      <c r="Z446" s="179"/>
      <c r="AA446" s="179"/>
      <c r="AB446" s="179"/>
      <c r="AC446" s="179"/>
      <c r="AD446" s="179"/>
      <c r="AE446" s="179"/>
      <c r="AF446" s="179"/>
      <c r="AG446" s="179"/>
      <c r="AH446" s="179"/>
      <c r="AI446" s="179"/>
      <c r="AJ446" s="179"/>
      <c r="AK446" s="179"/>
      <c r="AL446" s="179"/>
      <c r="AM446" s="179"/>
      <c r="AN446" s="179"/>
      <c r="AO446" s="179"/>
    </row>
    <row r="447" spans="3:41" hidden="1" x14ac:dyDescent="0.2">
      <c r="C447" s="179" t="str">
        <f>C82</f>
        <v>Special rate</v>
      </c>
      <c r="D447" s="179" t="str">
        <f t="shared" si="236"/>
        <v/>
      </c>
      <c r="E447" s="179"/>
      <c r="F447" s="179"/>
      <c r="G447" s="179">
        <f>G88*'WK3 - Notional GI Yr1 YIELD'!$D100</f>
        <v>0</v>
      </c>
      <c r="H447" s="179">
        <f>H88*'WK3 - Notional GI Yr1 YIELD'!$D100</f>
        <v>0</v>
      </c>
      <c r="I447" s="179">
        <f>I88*'WK3 - Notional GI Yr1 YIELD'!$D100</f>
        <v>0</v>
      </c>
      <c r="J447" s="179">
        <f>J88*'WK3 - Notional GI Yr1 YIELD'!$D100</f>
        <v>0</v>
      </c>
      <c r="K447" s="179">
        <f>K88*'WK3 - Notional GI Yr1 YIELD'!$D100</f>
        <v>0</v>
      </c>
      <c r="L447" s="179">
        <f>L88*'WK3 - Notional GI Yr1 YIELD'!$D100</f>
        <v>0</v>
      </c>
      <c r="M447" s="179"/>
      <c r="N447" s="179"/>
      <c r="O447" s="179"/>
      <c r="P447" s="179"/>
      <c r="Q447" s="179"/>
      <c r="R447" s="179"/>
      <c r="S447" s="179"/>
      <c r="T447" s="179"/>
      <c r="U447" s="179"/>
      <c r="V447" s="179"/>
      <c r="W447" s="179"/>
      <c r="X447" s="179"/>
      <c r="Y447" s="179"/>
      <c r="Z447" s="179"/>
      <c r="AA447" s="179"/>
      <c r="AB447" s="179"/>
      <c r="AC447" s="179"/>
      <c r="AD447" s="179"/>
      <c r="AE447" s="179"/>
      <c r="AF447" s="179"/>
      <c r="AG447" s="179"/>
      <c r="AH447" s="179"/>
      <c r="AI447" s="179"/>
      <c r="AJ447" s="179"/>
      <c r="AK447" s="179"/>
      <c r="AL447" s="179"/>
      <c r="AM447" s="179"/>
      <c r="AN447" s="179"/>
      <c r="AO447" s="179"/>
    </row>
    <row r="448" spans="3:41" hidden="1" x14ac:dyDescent="0.2">
      <c r="C448" s="179" t="str">
        <f>C89</f>
        <v>Special rate</v>
      </c>
      <c r="D448" s="179" t="str">
        <f t="shared" si="236"/>
        <v/>
      </c>
      <c r="E448" s="179"/>
      <c r="F448" s="179"/>
      <c r="G448" s="179">
        <f>G89*'WK3 - Notional GI Yr1 YIELD'!$D101</f>
        <v>0</v>
      </c>
      <c r="H448" s="179">
        <f>H89*'WK3 - Notional GI Yr1 YIELD'!$D101</f>
        <v>0</v>
      </c>
      <c r="I448" s="179">
        <f>I89*'WK3 - Notional GI Yr1 YIELD'!$D101</f>
        <v>0</v>
      </c>
      <c r="J448" s="179">
        <f>J89*'WK3 - Notional GI Yr1 YIELD'!$D101</f>
        <v>0</v>
      </c>
      <c r="K448" s="179">
        <f>K89*'WK3 - Notional GI Yr1 YIELD'!$D101</f>
        <v>0</v>
      </c>
      <c r="L448" s="179">
        <f>L89*'WK3 - Notional GI Yr1 YIELD'!$D101</f>
        <v>0</v>
      </c>
      <c r="M448" s="179"/>
      <c r="N448" s="179"/>
      <c r="O448" s="179"/>
      <c r="P448" s="179"/>
      <c r="Q448" s="179"/>
      <c r="R448" s="179"/>
      <c r="S448" s="179"/>
      <c r="T448" s="179"/>
      <c r="U448" s="179"/>
      <c r="V448" s="179"/>
      <c r="W448" s="179"/>
      <c r="X448" s="179"/>
      <c r="Y448" s="179"/>
      <c r="Z448" s="179"/>
      <c r="AA448" s="179"/>
      <c r="AB448" s="179"/>
      <c r="AC448" s="179"/>
      <c r="AD448" s="179"/>
      <c r="AE448" s="179"/>
      <c r="AF448" s="179"/>
      <c r="AG448" s="179"/>
      <c r="AH448" s="179"/>
      <c r="AI448" s="179"/>
      <c r="AJ448" s="179"/>
      <c r="AK448" s="179"/>
      <c r="AL448" s="179"/>
      <c r="AM448" s="179"/>
      <c r="AN448" s="179"/>
      <c r="AO448" s="179"/>
    </row>
    <row r="449" spans="3:41" s="162" customFormat="1" ht="12" hidden="1" x14ac:dyDescent="0.25">
      <c r="C449" s="656"/>
      <c r="D449" s="656" t="s">
        <v>451</v>
      </c>
      <c r="E449" s="656"/>
      <c r="F449" s="656"/>
      <c r="G449" s="656">
        <f t="shared" ref="G449:L449" si="237">SUM(G419:G448)</f>
        <v>19917732.743813198</v>
      </c>
      <c r="H449" s="656">
        <f t="shared" si="237"/>
        <v>20415676.062408529</v>
      </c>
      <c r="I449" s="656">
        <f t="shared" si="237"/>
        <v>20926067.963968739</v>
      </c>
      <c r="J449" s="656">
        <f t="shared" si="237"/>
        <v>21449219.663067956</v>
      </c>
      <c r="K449" s="656">
        <f t="shared" si="237"/>
        <v>0</v>
      </c>
      <c r="L449" s="656">
        <f t="shared" si="237"/>
        <v>0</v>
      </c>
      <c r="M449" s="656"/>
      <c r="N449" s="656"/>
      <c r="O449" s="656"/>
      <c r="P449" s="656"/>
      <c r="Q449" s="656"/>
      <c r="R449" s="656"/>
      <c r="S449" s="656"/>
      <c r="T449" s="656"/>
      <c r="U449" s="656"/>
      <c r="V449" s="656"/>
      <c r="W449" s="656"/>
      <c r="X449" s="656"/>
      <c r="Y449" s="656"/>
      <c r="Z449" s="656"/>
      <c r="AA449" s="656"/>
      <c r="AB449" s="656"/>
      <c r="AC449" s="656"/>
      <c r="AD449" s="656"/>
      <c r="AE449" s="656"/>
      <c r="AF449" s="656"/>
      <c r="AG449" s="656"/>
      <c r="AH449" s="656"/>
      <c r="AI449" s="656"/>
      <c r="AJ449" s="656"/>
      <c r="AK449" s="656"/>
      <c r="AL449" s="656"/>
      <c r="AM449" s="656"/>
      <c r="AN449" s="656"/>
      <c r="AO449" s="656"/>
    </row>
    <row r="450" spans="3:41" hidden="1" x14ac:dyDescent="0.2">
      <c r="C450" s="179" t="str">
        <f t="shared" ref="C450:D469" si="238">C91</f>
        <v>Business</v>
      </c>
      <c r="D450" s="179" t="str">
        <f t="shared" si="238"/>
        <v>Inner CBD</v>
      </c>
      <c r="E450" s="179"/>
      <c r="F450" s="179"/>
      <c r="G450" s="179">
        <f>G91*'WK3 - Notional GI Yr1 YIELD'!$D35</f>
        <v>2022301.765136</v>
      </c>
      <c r="H450" s="179">
        <f>H91*'WK3 - Notional GI Yr1 YIELD'!$D35</f>
        <v>2072859.3092643998</v>
      </c>
      <c r="I450" s="179">
        <f>I91*'WK3 - Notional GI Yr1 YIELD'!$D35</f>
        <v>2124680.7919960096</v>
      </c>
      <c r="J450" s="179">
        <f>J91*'WK3 - Notional GI Yr1 YIELD'!$D35</f>
        <v>2177797.8117959099</v>
      </c>
      <c r="K450" s="179">
        <f>K91*'WK3 - Notional GI Yr1 YIELD'!$D35</f>
        <v>0</v>
      </c>
      <c r="L450" s="179">
        <f>L91*'WK3 - Notional GI Yr1 YIELD'!$D35</f>
        <v>0</v>
      </c>
      <c r="M450" s="179"/>
      <c r="N450" s="179"/>
      <c r="O450" s="179"/>
      <c r="P450" s="179"/>
      <c r="Q450" s="179"/>
      <c r="R450" s="179"/>
      <c r="S450" s="179"/>
      <c r="T450" s="179"/>
      <c r="U450" s="179"/>
      <c r="V450" s="179"/>
      <c r="W450" s="179"/>
      <c r="X450" s="179"/>
      <c r="Y450" s="179"/>
      <c r="Z450" s="179"/>
      <c r="AA450" s="179"/>
      <c r="AB450" s="179"/>
      <c r="AC450" s="179"/>
      <c r="AD450" s="179"/>
      <c r="AE450" s="179"/>
      <c r="AF450" s="179"/>
      <c r="AG450" s="179"/>
      <c r="AH450" s="179"/>
      <c r="AI450" s="179"/>
      <c r="AJ450" s="179"/>
      <c r="AK450" s="179"/>
      <c r="AL450" s="179"/>
      <c r="AM450" s="179"/>
      <c r="AN450" s="179"/>
      <c r="AO450" s="179"/>
    </row>
    <row r="451" spans="3:41" hidden="1" x14ac:dyDescent="0.2">
      <c r="C451" s="179" t="str">
        <f t="shared" si="238"/>
        <v>Business</v>
      </c>
      <c r="D451" s="179" t="str">
        <f t="shared" ref="D451:D469" si="239">D92</f>
        <v>Urban</v>
      </c>
      <c r="E451" s="179"/>
      <c r="F451" s="179"/>
      <c r="G451" s="179">
        <f>G92*'WK3 - Notional GI Yr1 YIELD'!$D36</f>
        <v>3993961.7029827493</v>
      </c>
      <c r="H451" s="179">
        <f>H92*'WK3 - Notional GI Yr1 YIELD'!$D36</f>
        <v>4093810.7455573175</v>
      </c>
      <c r="I451" s="179">
        <f>I92*'WK3 - Notional GI Yr1 YIELD'!$D36</f>
        <v>4196156.0141962506</v>
      </c>
      <c r="J451" s="179">
        <f>J92*'WK3 - Notional GI Yr1 YIELD'!$D36</f>
        <v>4301059.9145511566</v>
      </c>
      <c r="K451" s="179">
        <f>K92*'WK3 - Notional GI Yr1 YIELD'!$D36</f>
        <v>0</v>
      </c>
      <c r="L451" s="179">
        <f>L92*'WK3 - Notional GI Yr1 YIELD'!$D36</f>
        <v>0</v>
      </c>
      <c r="M451" s="179"/>
      <c r="N451" s="179"/>
      <c r="O451" s="179"/>
      <c r="P451" s="179"/>
      <c r="Q451" s="179"/>
      <c r="R451" s="179"/>
      <c r="S451" s="179"/>
      <c r="T451" s="179"/>
      <c r="U451" s="179"/>
      <c r="V451" s="179"/>
      <c r="W451" s="179"/>
      <c r="X451" s="179"/>
      <c r="Y451" s="179"/>
      <c r="Z451" s="179"/>
      <c r="AA451" s="179"/>
      <c r="AB451" s="179"/>
      <c r="AC451" s="179"/>
      <c r="AD451" s="179"/>
      <c r="AE451" s="179"/>
      <c r="AF451" s="179"/>
      <c r="AG451" s="179"/>
      <c r="AH451" s="179"/>
      <c r="AI451" s="179"/>
      <c r="AJ451" s="179"/>
      <c r="AK451" s="179"/>
      <c r="AL451" s="179"/>
      <c r="AM451" s="179"/>
      <c r="AN451" s="179"/>
      <c r="AO451" s="179"/>
    </row>
    <row r="452" spans="3:41" hidden="1" x14ac:dyDescent="0.2">
      <c r="C452" s="179" t="str">
        <f t="shared" si="238"/>
        <v>Business</v>
      </c>
      <c r="D452" s="179" t="str">
        <f t="shared" si="239"/>
        <v>Other</v>
      </c>
      <c r="E452" s="179"/>
      <c r="F452" s="179"/>
      <c r="G452" s="179">
        <f>G93*'WK3 - Notional GI Yr1 YIELD'!$D37</f>
        <v>149269.23328699998</v>
      </c>
      <c r="H452" s="179">
        <f>H93*'WK3 - Notional GI Yr1 YIELD'!$D37</f>
        <v>153000.96411917495</v>
      </c>
      <c r="I452" s="179">
        <f>I93*'WK3 - Notional GI Yr1 YIELD'!$D37</f>
        <v>156825.98822215432</v>
      </c>
      <c r="J452" s="179">
        <f>J93*'WK3 - Notional GI Yr1 YIELD'!$D37</f>
        <v>160746.63792770816</v>
      </c>
      <c r="K452" s="179">
        <f>K93*'WK3 - Notional GI Yr1 YIELD'!$D37</f>
        <v>0</v>
      </c>
      <c r="L452" s="179">
        <f>L93*'WK3 - Notional GI Yr1 YIELD'!$D37</f>
        <v>0</v>
      </c>
      <c r="M452" s="179"/>
      <c r="N452" s="179"/>
      <c r="O452" s="179"/>
      <c r="P452" s="179"/>
      <c r="Q452" s="179"/>
      <c r="R452" s="179"/>
      <c r="S452" s="179"/>
      <c r="T452" s="179"/>
      <c r="U452" s="179"/>
      <c r="V452" s="179"/>
      <c r="W452" s="179"/>
      <c r="X452" s="179"/>
      <c r="Y452" s="179"/>
      <c r="Z452" s="179"/>
      <c r="AA452" s="179"/>
      <c r="AB452" s="179"/>
      <c r="AC452" s="179"/>
      <c r="AD452" s="179"/>
      <c r="AE452" s="179"/>
      <c r="AF452" s="179"/>
      <c r="AG452" s="179"/>
      <c r="AH452" s="179"/>
      <c r="AI452" s="179"/>
      <c r="AJ452" s="179"/>
      <c r="AK452" s="179"/>
      <c r="AL452" s="179"/>
      <c r="AM452" s="179"/>
      <c r="AN452" s="179"/>
      <c r="AO452" s="179"/>
    </row>
    <row r="453" spans="3:41" hidden="1" x14ac:dyDescent="0.2">
      <c r="C453" s="179" t="str">
        <f t="shared" si="238"/>
        <v>Business</v>
      </c>
      <c r="D453" s="179" t="str">
        <f t="shared" si="239"/>
        <v>Nimbin</v>
      </c>
      <c r="E453" s="179"/>
      <c r="F453" s="179"/>
      <c r="G453" s="179">
        <f>G94*'WK3 - Notional GI Yr1 YIELD'!$D38</f>
        <v>97452.472779999982</v>
      </c>
      <c r="H453" s="179">
        <f>H94*'WK3 - Notional GI Yr1 YIELD'!$D38</f>
        <v>99888.784599499981</v>
      </c>
      <c r="I453" s="179">
        <f>I94*'WK3 - Notional GI Yr1 YIELD'!$D38</f>
        <v>102386.00421448748</v>
      </c>
      <c r="J453" s="179">
        <f>J94*'WK3 - Notional GI Yr1 YIELD'!$D38</f>
        <v>104945.65431984965</v>
      </c>
      <c r="K453" s="179">
        <f>K94*'WK3 - Notional GI Yr1 YIELD'!$D38</f>
        <v>0</v>
      </c>
      <c r="L453" s="179">
        <f>L94*'WK3 - Notional GI Yr1 YIELD'!$D38</f>
        <v>0</v>
      </c>
      <c r="M453" s="179"/>
      <c r="N453" s="179"/>
      <c r="O453" s="179"/>
      <c r="P453" s="179"/>
      <c r="Q453" s="179"/>
      <c r="R453" s="179"/>
      <c r="S453" s="179"/>
      <c r="T453" s="179"/>
      <c r="U453" s="179"/>
      <c r="V453" s="179"/>
      <c r="W453" s="179"/>
      <c r="X453" s="179"/>
      <c r="Y453" s="179"/>
      <c r="Z453" s="179"/>
      <c r="AA453" s="179"/>
      <c r="AB453" s="179"/>
      <c r="AC453" s="179"/>
      <c r="AD453" s="179"/>
      <c r="AE453" s="179"/>
      <c r="AF453" s="179"/>
      <c r="AG453" s="179"/>
      <c r="AH453" s="179"/>
      <c r="AI453" s="179"/>
      <c r="AJ453" s="179"/>
      <c r="AK453" s="179"/>
      <c r="AL453" s="179"/>
      <c r="AM453" s="179"/>
      <c r="AN453" s="179"/>
      <c r="AO453" s="179"/>
    </row>
    <row r="454" spans="3:41" hidden="1" x14ac:dyDescent="0.2">
      <c r="C454" s="179" t="str">
        <f t="shared" si="238"/>
        <v>Business</v>
      </c>
      <c r="D454" s="179" t="str">
        <f t="shared" si="239"/>
        <v/>
      </c>
      <c r="E454" s="179"/>
      <c r="F454" s="179"/>
      <c r="G454" s="179">
        <f>G95*'WK3 - Notional GI Yr1 YIELD'!$D39</f>
        <v>0</v>
      </c>
      <c r="H454" s="179">
        <f>H95*'WK3 - Notional GI Yr1 YIELD'!$D39</f>
        <v>0</v>
      </c>
      <c r="I454" s="179">
        <f>I95*'WK3 - Notional GI Yr1 YIELD'!$D39</f>
        <v>0</v>
      </c>
      <c r="J454" s="179">
        <f>J95*'WK3 - Notional GI Yr1 YIELD'!$D39</f>
        <v>0</v>
      </c>
      <c r="K454" s="179">
        <f>K95*'WK3 - Notional GI Yr1 YIELD'!$D39</f>
        <v>0</v>
      </c>
      <c r="L454" s="179">
        <f>L95*'WK3 - Notional GI Yr1 YIELD'!$D39</f>
        <v>0</v>
      </c>
      <c r="M454" s="179"/>
      <c r="N454" s="179"/>
      <c r="O454" s="179"/>
      <c r="P454" s="179"/>
      <c r="Q454" s="179"/>
      <c r="R454" s="179"/>
      <c r="S454" s="179"/>
      <c r="T454" s="179"/>
      <c r="U454" s="179"/>
      <c r="V454" s="179"/>
      <c r="W454" s="179"/>
      <c r="X454" s="179"/>
      <c r="Y454" s="179"/>
      <c r="Z454" s="179"/>
      <c r="AA454" s="179"/>
      <c r="AB454" s="179"/>
      <c r="AC454" s="179"/>
      <c r="AD454" s="179"/>
      <c r="AE454" s="179"/>
      <c r="AF454" s="179"/>
      <c r="AG454" s="179"/>
      <c r="AH454" s="179"/>
      <c r="AI454" s="179"/>
      <c r="AJ454" s="179"/>
      <c r="AK454" s="179"/>
      <c r="AL454" s="179"/>
      <c r="AM454" s="179"/>
      <c r="AN454" s="179"/>
      <c r="AO454" s="179"/>
    </row>
    <row r="455" spans="3:41" hidden="1" x14ac:dyDescent="0.2">
      <c r="C455" s="179" t="str">
        <f t="shared" si="238"/>
        <v>Business</v>
      </c>
      <c r="D455" s="179" t="str">
        <f t="shared" si="239"/>
        <v/>
      </c>
      <c r="E455" s="179"/>
      <c r="F455" s="179"/>
      <c r="G455" s="179">
        <f>G96*'WK3 - Notional GI Yr1 YIELD'!$D40</f>
        <v>0</v>
      </c>
      <c r="H455" s="179">
        <f>H96*'WK3 - Notional GI Yr1 YIELD'!$D40</f>
        <v>0</v>
      </c>
      <c r="I455" s="179">
        <f>I96*'WK3 - Notional GI Yr1 YIELD'!$D40</f>
        <v>0</v>
      </c>
      <c r="J455" s="179">
        <f>J96*'WK3 - Notional GI Yr1 YIELD'!$D40</f>
        <v>0</v>
      </c>
      <c r="K455" s="179">
        <f>K96*'WK3 - Notional GI Yr1 YIELD'!$D40</f>
        <v>0</v>
      </c>
      <c r="L455" s="179">
        <f>L96*'WK3 - Notional GI Yr1 YIELD'!$D40</f>
        <v>0</v>
      </c>
      <c r="M455" s="179"/>
      <c r="N455" s="179"/>
      <c r="O455" s="179"/>
      <c r="P455" s="179"/>
      <c r="Q455" s="179"/>
      <c r="R455" s="179"/>
      <c r="S455" s="179"/>
      <c r="T455" s="179"/>
      <c r="U455" s="179"/>
      <c r="V455" s="179"/>
      <c r="W455" s="179"/>
      <c r="X455" s="179"/>
      <c r="Y455" s="179"/>
      <c r="Z455" s="179"/>
      <c r="AA455" s="179"/>
      <c r="AB455" s="179"/>
      <c r="AC455" s="179"/>
      <c r="AD455" s="179"/>
      <c r="AE455" s="179"/>
      <c r="AF455" s="179"/>
      <c r="AG455" s="179"/>
      <c r="AH455" s="179"/>
      <c r="AI455" s="179"/>
      <c r="AJ455" s="179"/>
      <c r="AK455" s="179"/>
      <c r="AL455" s="179"/>
      <c r="AM455" s="179"/>
      <c r="AN455" s="179"/>
      <c r="AO455" s="179"/>
    </row>
    <row r="456" spans="3:41" hidden="1" x14ac:dyDescent="0.2">
      <c r="C456" s="179" t="str">
        <f t="shared" si="238"/>
        <v>Business</v>
      </c>
      <c r="D456" s="179" t="str">
        <f t="shared" si="239"/>
        <v/>
      </c>
      <c r="E456" s="179"/>
      <c r="F456" s="179"/>
      <c r="G456" s="179">
        <f>G97*'WK3 - Notional GI Yr1 YIELD'!$D41</f>
        <v>0</v>
      </c>
      <c r="H456" s="179">
        <f>H97*'WK3 - Notional GI Yr1 YIELD'!$D41</f>
        <v>0</v>
      </c>
      <c r="I456" s="179">
        <f>I97*'WK3 - Notional GI Yr1 YIELD'!$D41</f>
        <v>0</v>
      </c>
      <c r="J456" s="179">
        <f>J97*'WK3 - Notional GI Yr1 YIELD'!$D41</f>
        <v>0</v>
      </c>
      <c r="K456" s="179">
        <f>K97*'WK3 - Notional GI Yr1 YIELD'!$D41</f>
        <v>0</v>
      </c>
      <c r="L456" s="179">
        <f>L97*'WK3 - Notional GI Yr1 YIELD'!$D41</f>
        <v>0</v>
      </c>
      <c r="M456" s="179"/>
      <c r="N456" s="179"/>
      <c r="O456" s="179"/>
      <c r="P456" s="179"/>
      <c r="Q456" s="179"/>
      <c r="R456" s="179"/>
      <c r="S456" s="179"/>
      <c r="T456" s="179"/>
      <c r="U456" s="179"/>
      <c r="V456" s="179"/>
      <c r="W456" s="179"/>
      <c r="X456" s="179"/>
      <c r="Y456" s="179"/>
      <c r="Z456" s="179"/>
      <c r="AA456" s="179"/>
      <c r="AB456" s="179"/>
      <c r="AC456" s="179"/>
      <c r="AD456" s="179"/>
      <c r="AE456" s="179"/>
      <c r="AF456" s="179"/>
      <c r="AG456" s="179"/>
      <c r="AH456" s="179"/>
      <c r="AI456" s="179"/>
      <c r="AJ456" s="179"/>
      <c r="AK456" s="179"/>
      <c r="AL456" s="179"/>
      <c r="AM456" s="179"/>
      <c r="AN456" s="179"/>
      <c r="AO456" s="179"/>
    </row>
    <row r="457" spans="3:41" hidden="1" x14ac:dyDescent="0.2">
      <c r="C457" s="179" t="str">
        <f t="shared" si="238"/>
        <v>Business</v>
      </c>
      <c r="D457" s="179" t="str">
        <f t="shared" si="239"/>
        <v/>
      </c>
      <c r="E457" s="179"/>
      <c r="F457" s="179"/>
      <c r="G457" s="179">
        <f>G98*'WK3 - Notional GI Yr1 YIELD'!$D42</f>
        <v>0</v>
      </c>
      <c r="H457" s="179">
        <f>H98*'WK3 - Notional GI Yr1 YIELD'!$D42</f>
        <v>0</v>
      </c>
      <c r="I457" s="179">
        <f>I98*'WK3 - Notional GI Yr1 YIELD'!$D42</f>
        <v>0</v>
      </c>
      <c r="J457" s="179">
        <f>J98*'WK3 - Notional GI Yr1 YIELD'!$D42</f>
        <v>0</v>
      </c>
      <c r="K457" s="179">
        <f>K98*'WK3 - Notional GI Yr1 YIELD'!$D42</f>
        <v>0</v>
      </c>
      <c r="L457" s="179">
        <f>L98*'WK3 - Notional GI Yr1 YIELD'!$D42</f>
        <v>0</v>
      </c>
      <c r="M457" s="179"/>
      <c r="N457" s="179"/>
      <c r="O457" s="179"/>
      <c r="P457" s="179"/>
      <c r="Q457" s="179"/>
      <c r="R457" s="179"/>
      <c r="S457" s="179"/>
      <c r="T457" s="179"/>
      <c r="U457" s="179"/>
      <c r="V457" s="179"/>
      <c r="W457" s="179"/>
      <c r="X457" s="179"/>
      <c r="Y457" s="179"/>
      <c r="Z457" s="179"/>
      <c r="AA457" s="179"/>
      <c r="AB457" s="179"/>
      <c r="AC457" s="179"/>
      <c r="AD457" s="179"/>
      <c r="AE457" s="179"/>
      <c r="AF457" s="179"/>
      <c r="AG457" s="179"/>
      <c r="AH457" s="179"/>
      <c r="AI457" s="179"/>
      <c r="AJ457" s="179"/>
      <c r="AK457" s="179"/>
      <c r="AL457" s="179"/>
      <c r="AM457" s="179"/>
      <c r="AN457" s="179"/>
      <c r="AO457" s="179"/>
    </row>
    <row r="458" spans="3:41" hidden="1" x14ac:dyDescent="0.2">
      <c r="C458" s="179" t="str">
        <f t="shared" si="238"/>
        <v>Business</v>
      </c>
      <c r="D458" s="179" t="str">
        <f t="shared" si="239"/>
        <v/>
      </c>
      <c r="E458" s="179"/>
      <c r="F458" s="179"/>
      <c r="G458" s="179">
        <f>G99*'WK3 - Notional GI Yr1 YIELD'!$D43</f>
        <v>0</v>
      </c>
      <c r="H458" s="179">
        <f>H99*'WK3 - Notional GI Yr1 YIELD'!$D43</f>
        <v>0</v>
      </c>
      <c r="I458" s="179">
        <f>I99*'WK3 - Notional GI Yr1 YIELD'!$D43</f>
        <v>0</v>
      </c>
      <c r="J458" s="179">
        <f>J99*'WK3 - Notional GI Yr1 YIELD'!$D43</f>
        <v>0</v>
      </c>
      <c r="K458" s="179">
        <f>K99*'WK3 - Notional GI Yr1 YIELD'!$D43</f>
        <v>0</v>
      </c>
      <c r="L458" s="179">
        <f>L99*'WK3 - Notional GI Yr1 YIELD'!$D43</f>
        <v>0</v>
      </c>
      <c r="M458" s="179"/>
      <c r="N458" s="179"/>
      <c r="O458" s="179"/>
      <c r="P458" s="179"/>
      <c r="Q458" s="179"/>
      <c r="R458" s="179"/>
      <c r="S458" s="179"/>
      <c r="T458" s="179"/>
      <c r="U458" s="179"/>
      <c r="V458" s="179"/>
      <c r="W458" s="179"/>
      <c r="X458" s="179"/>
      <c r="Y458" s="179"/>
      <c r="Z458" s="179"/>
      <c r="AA458" s="179"/>
      <c r="AB458" s="179"/>
      <c r="AC458" s="179"/>
      <c r="AD458" s="179"/>
      <c r="AE458" s="179"/>
      <c r="AF458" s="179"/>
      <c r="AG458" s="179"/>
      <c r="AH458" s="179"/>
      <c r="AI458" s="179"/>
      <c r="AJ458" s="179"/>
      <c r="AK458" s="179"/>
      <c r="AL458" s="179"/>
      <c r="AM458" s="179"/>
      <c r="AN458" s="179"/>
      <c r="AO458" s="179"/>
    </row>
    <row r="459" spans="3:41" hidden="1" x14ac:dyDescent="0.2">
      <c r="C459" s="179" t="str">
        <f t="shared" si="238"/>
        <v>Business</v>
      </c>
      <c r="D459" s="179" t="str">
        <f t="shared" si="239"/>
        <v/>
      </c>
      <c r="E459" s="179"/>
      <c r="F459" s="179"/>
      <c r="G459" s="179">
        <f>G100*'WK3 - Notional GI Yr1 YIELD'!$D44</f>
        <v>0</v>
      </c>
      <c r="H459" s="179">
        <f>H100*'WK3 - Notional GI Yr1 YIELD'!$D44</f>
        <v>0</v>
      </c>
      <c r="I459" s="179">
        <f>I100*'WK3 - Notional GI Yr1 YIELD'!$D44</f>
        <v>0</v>
      </c>
      <c r="J459" s="179">
        <f>J100*'WK3 - Notional GI Yr1 YIELD'!$D44</f>
        <v>0</v>
      </c>
      <c r="K459" s="179">
        <f>K100*'WK3 - Notional GI Yr1 YIELD'!$D44</f>
        <v>0</v>
      </c>
      <c r="L459" s="179">
        <f>L100*'WK3 - Notional GI Yr1 YIELD'!$D44</f>
        <v>0</v>
      </c>
      <c r="M459" s="179"/>
      <c r="N459" s="179"/>
      <c r="O459" s="179"/>
      <c r="P459" s="179"/>
      <c r="Q459" s="179"/>
      <c r="R459" s="179"/>
      <c r="S459" s="179"/>
      <c r="T459" s="179"/>
      <c r="U459" s="179"/>
      <c r="V459" s="179"/>
      <c r="W459" s="179"/>
      <c r="X459" s="179"/>
      <c r="Y459" s="179"/>
      <c r="Z459" s="179"/>
      <c r="AA459" s="179"/>
      <c r="AB459" s="179"/>
      <c r="AC459" s="179"/>
      <c r="AD459" s="179"/>
      <c r="AE459" s="179"/>
      <c r="AF459" s="179"/>
      <c r="AG459" s="179"/>
      <c r="AH459" s="179"/>
      <c r="AI459" s="179"/>
      <c r="AJ459" s="179"/>
      <c r="AK459" s="179"/>
      <c r="AL459" s="179"/>
      <c r="AM459" s="179"/>
      <c r="AN459" s="179"/>
      <c r="AO459" s="179"/>
    </row>
    <row r="460" spans="3:41" hidden="1" x14ac:dyDescent="0.2">
      <c r="C460" s="179" t="str">
        <f t="shared" si="238"/>
        <v>Business</v>
      </c>
      <c r="D460" s="179" t="str">
        <f t="shared" si="239"/>
        <v/>
      </c>
      <c r="E460" s="179"/>
      <c r="F460" s="179"/>
      <c r="G460" s="179">
        <f>G101*'WK3 - Notional GI Yr1 YIELD'!$D45</f>
        <v>0</v>
      </c>
      <c r="H460" s="179">
        <f>H101*'WK3 - Notional GI Yr1 YIELD'!$D45</f>
        <v>0</v>
      </c>
      <c r="I460" s="179">
        <f>I101*'WK3 - Notional GI Yr1 YIELD'!$D45</f>
        <v>0</v>
      </c>
      <c r="J460" s="179">
        <f>J101*'WK3 - Notional GI Yr1 YIELD'!$D45</f>
        <v>0</v>
      </c>
      <c r="K460" s="179">
        <f>K101*'WK3 - Notional GI Yr1 YIELD'!$D45</f>
        <v>0</v>
      </c>
      <c r="L460" s="179">
        <f>L101*'WK3 - Notional GI Yr1 YIELD'!$D45</f>
        <v>0</v>
      </c>
      <c r="M460" s="179"/>
      <c r="N460" s="179"/>
      <c r="O460" s="179"/>
      <c r="P460" s="179"/>
      <c r="Q460" s="179"/>
      <c r="R460" s="179"/>
      <c r="S460" s="179"/>
      <c r="T460" s="179"/>
      <c r="U460" s="179"/>
      <c r="V460" s="179"/>
      <c r="W460" s="179"/>
      <c r="X460" s="179"/>
      <c r="Y460" s="179"/>
      <c r="Z460" s="179"/>
      <c r="AA460" s="179"/>
      <c r="AB460" s="179"/>
      <c r="AC460" s="179"/>
      <c r="AD460" s="179"/>
      <c r="AE460" s="179"/>
      <c r="AF460" s="179"/>
      <c r="AG460" s="179"/>
      <c r="AH460" s="179"/>
      <c r="AI460" s="179"/>
      <c r="AJ460" s="179"/>
      <c r="AK460" s="179"/>
      <c r="AL460" s="179"/>
      <c r="AM460" s="179"/>
      <c r="AN460" s="179"/>
      <c r="AO460" s="179"/>
    </row>
    <row r="461" spans="3:41" hidden="1" x14ac:dyDescent="0.2">
      <c r="C461" s="179" t="str">
        <f t="shared" si="238"/>
        <v>Business</v>
      </c>
      <c r="D461" s="179" t="str">
        <f t="shared" si="239"/>
        <v/>
      </c>
      <c r="E461" s="179"/>
      <c r="F461" s="179"/>
      <c r="G461" s="179">
        <f>G102*'WK3 - Notional GI Yr1 YIELD'!$D46</f>
        <v>0</v>
      </c>
      <c r="H461" s="179">
        <f>H102*'WK3 - Notional GI Yr1 YIELD'!$D46</f>
        <v>0</v>
      </c>
      <c r="I461" s="179">
        <f>I102*'WK3 - Notional GI Yr1 YIELD'!$D46</f>
        <v>0</v>
      </c>
      <c r="J461" s="179">
        <f>J102*'WK3 - Notional GI Yr1 YIELD'!$D46</f>
        <v>0</v>
      </c>
      <c r="K461" s="179">
        <f>K102*'WK3 - Notional GI Yr1 YIELD'!$D46</f>
        <v>0</v>
      </c>
      <c r="L461" s="179">
        <f>L102*'WK3 - Notional GI Yr1 YIELD'!$D46</f>
        <v>0</v>
      </c>
      <c r="M461" s="179"/>
      <c r="N461" s="179"/>
      <c r="O461" s="179"/>
      <c r="P461" s="179"/>
      <c r="Q461" s="179"/>
      <c r="R461" s="179"/>
      <c r="S461" s="179"/>
      <c r="T461" s="179"/>
      <c r="U461" s="179"/>
      <c r="V461" s="179"/>
      <c r="W461" s="179"/>
      <c r="X461" s="179"/>
      <c r="Y461" s="179"/>
      <c r="Z461" s="179"/>
      <c r="AA461" s="179"/>
      <c r="AB461" s="179"/>
      <c r="AC461" s="179"/>
      <c r="AD461" s="179"/>
      <c r="AE461" s="179"/>
      <c r="AF461" s="179"/>
      <c r="AG461" s="179"/>
      <c r="AH461" s="179"/>
      <c r="AI461" s="179"/>
      <c r="AJ461" s="179"/>
      <c r="AK461" s="179"/>
      <c r="AL461" s="179"/>
      <c r="AM461" s="179"/>
      <c r="AN461" s="179"/>
      <c r="AO461" s="179"/>
    </row>
    <row r="462" spans="3:41" hidden="1" x14ac:dyDescent="0.2">
      <c r="C462" s="179" t="str">
        <f t="shared" si="238"/>
        <v>Business</v>
      </c>
      <c r="D462" s="179" t="str">
        <f t="shared" si="239"/>
        <v/>
      </c>
      <c r="E462" s="179"/>
      <c r="F462" s="179"/>
      <c r="G462" s="179">
        <f>G103*'WK3 - Notional GI Yr1 YIELD'!$D47</f>
        <v>0</v>
      </c>
      <c r="H462" s="179">
        <f>H103*'WK3 - Notional GI Yr1 YIELD'!$D47</f>
        <v>0</v>
      </c>
      <c r="I462" s="179">
        <f>I103*'WK3 - Notional GI Yr1 YIELD'!$D47</f>
        <v>0</v>
      </c>
      <c r="J462" s="179">
        <f>J103*'WK3 - Notional GI Yr1 YIELD'!$D47</f>
        <v>0</v>
      </c>
      <c r="K462" s="179">
        <f>K103*'WK3 - Notional GI Yr1 YIELD'!$D47</f>
        <v>0</v>
      </c>
      <c r="L462" s="179">
        <f>L103*'WK3 - Notional GI Yr1 YIELD'!$D47</f>
        <v>0</v>
      </c>
      <c r="M462" s="179"/>
      <c r="N462" s="179"/>
      <c r="O462" s="179"/>
      <c r="P462" s="179"/>
      <c r="Q462" s="179"/>
      <c r="R462" s="179"/>
      <c r="S462" s="179"/>
      <c r="T462" s="179"/>
      <c r="U462" s="179"/>
      <c r="V462" s="179"/>
      <c r="W462" s="179"/>
      <c r="X462" s="179"/>
      <c r="Y462" s="179"/>
      <c r="Z462" s="179"/>
      <c r="AA462" s="179"/>
      <c r="AB462" s="179"/>
      <c r="AC462" s="179"/>
      <c r="AD462" s="179"/>
      <c r="AE462" s="179"/>
      <c r="AF462" s="179"/>
      <c r="AG462" s="179"/>
      <c r="AH462" s="179"/>
      <c r="AI462" s="179"/>
      <c r="AJ462" s="179"/>
      <c r="AK462" s="179"/>
      <c r="AL462" s="179"/>
      <c r="AM462" s="179"/>
      <c r="AN462" s="179"/>
      <c r="AO462" s="179"/>
    </row>
    <row r="463" spans="3:41" hidden="1" x14ac:dyDescent="0.2">
      <c r="C463" s="179" t="str">
        <f t="shared" si="238"/>
        <v>Business</v>
      </c>
      <c r="D463" s="179" t="str">
        <f t="shared" si="239"/>
        <v/>
      </c>
      <c r="E463" s="179"/>
      <c r="F463" s="179"/>
      <c r="G463" s="179">
        <f>G104*'WK3 - Notional GI Yr1 YIELD'!$D48</f>
        <v>0</v>
      </c>
      <c r="H463" s="179">
        <f>H104*'WK3 - Notional GI Yr1 YIELD'!$D48</f>
        <v>0</v>
      </c>
      <c r="I463" s="179">
        <f>I104*'WK3 - Notional GI Yr1 YIELD'!$D48</f>
        <v>0</v>
      </c>
      <c r="J463" s="179">
        <f>J104*'WK3 - Notional GI Yr1 YIELD'!$D48</f>
        <v>0</v>
      </c>
      <c r="K463" s="179">
        <f>K104*'WK3 - Notional GI Yr1 YIELD'!$D48</f>
        <v>0</v>
      </c>
      <c r="L463" s="179">
        <f>L104*'WK3 - Notional GI Yr1 YIELD'!$D48</f>
        <v>0</v>
      </c>
      <c r="M463" s="179"/>
      <c r="N463" s="179"/>
      <c r="O463" s="179"/>
      <c r="P463" s="179"/>
      <c r="Q463" s="179"/>
      <c r="R463" s="179"/>
      <c r="S463" s="179"/>
      <c r="T463" s="179"/>
      <c r="U463" s="179"/>
      <c r="V463" s="179"/>
      <c r="W463" s="179"/>
      <c r="X463" s="179"/>
      <c r="Y463" s="179"/>
      <c r="Z463" s="179"/>
      <c r="AA463" s="179"/>
      <c r="AB463" s="179"/>
      <c r="AC463" s="179"/>
      <c r="AD463" s="179"/>
      <c r="AE463" s="179"/>
      <c r="AF463" s="179"/>
      <c r="AG463" s="179"/>
      <c r="AH463" s="179"/>
      <c r="AI463" s="179"/>
      <c r="AJ463" s="179"/>
      <c r="AK463" s="179"/>
      <c r="AL463" s="179"/>
      <c r="AM463" s="179"/>
      <c r="AN463" s="179"/>
      <c r="AO463" s="179"/>
    </row>
    <row r="464" spans="3:41" hidden="1" x14ac:dyDescent="0.2">
      <c r="C464" s="179" t="str">
        <f t="shared" si="238"/>
        <v>Business</v>
      </c>
      <c r="D464" s="179" t="str">
        <f t="shared" si="239"/>
        <v/>
      </c>
      <c r="E464" s="179"/>
      <c r="F464" s="179"/>
      <c r="G464" s="179">
        <f>G105*'WK3 - Notional GI Yr1 YIELD'!$D49</f>
        <v>0</v>
      </c>
      <c r="H464" s="179">
        <f>H105*'WK3 - Notional GI Yr1 YIELD'!$D49</f>
        <v>0</v>
      </c>
      <c r="I464" s="179">
        <f>I105*'WK3 - Notional GI Yr1 YIELD'!$D49</f>
        <v>0</v>
      </c>
      <c r="J464" s="179">
        <f>J105*'WK3 - Notional GI Yr1 YIELD'!$D49</f>
        <v>0</v>
      </c>
      <c r="K464" s="179">
        <f>K105*'WK3 - Notional GI Yr1 YIELD'!$D49</f>
        <v>0</v>
      </c>
      <c r="L464" s="179">
        <f>L105*'WK3 - Notional GI Yr1 YIELD'!$D49</f>
        <v>0</v>
      </c>
      <c r="M464" s="179"/>
      <c r="N464" s="179"/>
      <c r="O464" s="179"/>
      <c r="P464" s="179"/>
      <c r="Q464" s="179"/>
      <c r="R464" s="179"/>
      <c r="S464" s="179"/>
      <c r="T464" s="179"/>
      <c r="U464" s="179"/>
      <c r="V464" s="179"/>
      <c r="W464" s="179"/>
      <c r="X464" s="179"/>
      <c r="Y464" s="179"/>
      <c r="Z464" s="179"/>
      <c r="AA464" s="179"/>
      <c r="AB464" s="179"/>
      <c r="AC464" s="179"/>
      <c r="AD464" s="179"/>
      <c r="AE464" s="179"/>
      <c r="AF464" s="179"/>
      <c r="AG464" s="179"/>
      <c r="AH464" s="179"/>
      <c r="AI464" s="179"/>
      <c r="AJ464" s="179"/>
      <c r="AK464" s="179"/>
      <c r="AL464" s="179"/>
      <c r="AM464" s="179"/>
      <c r="AN464" s="179"/>
      <c r="AO464" s="179"/>
    </row>
    <row r="465" spans="3:41" hidden="1" x14ac:dyDescent="0.2">
      <c r="C465" s="179" t="str">
        <f t="shared" si="238"/>
        <v>Business</v>
      </c>
      <c r="D465" s="179" t="str">
        <f t="shared" si="239"/>
        <v/>
      </c>
      <c r="E465" s="179"/>
      <c r="F465" s="179"/>
      <c r="G465" s="179">
        <f>G106*'WK3 - Notional GI Yr1 YIELD'!$D50</f>
        <v>0</v>
      </c>
      <c r="H465" s="179">
        <f>H106*'WK3 - Notional GI Yr1 YIELD'!$D50</f>
        <v>0</v>
      </c>
      <c r="I465" s="179">
        <f>I106*'WK3 - Notional GI Yr1 YIELD'!$D50</f>
        <v>0</v>
      </c>
      <c r="J465" s="179">
        <f>J106*'WK3 - Notional GI Yr1 YIELD'!$D50</f>
        <v>0</v>
      </c>
      <c r="K465" s="179">
        <f>K106*'WK3 - Notional GI Yr1 YIELD'!$D50</f>
        <v>0</v>
      </c>
      <c r="L465" s="179">
        <f>L106*'WK3 - Notional GI Yr1 YIELD'!$D50</f>
        <v>0</v>
      </c>
      <c r="M465" s="179"/>
      <c r="N465" s="179"/>
      <c r="O465" s="179"/>
      <c r="P465" s="179"/>
      <c r="Q465" s="179"/>
      <c r="R465" s="179"/>
      <c r="S465" s="179"/>
      <c r="T465" s="179"/>
      <c r="U465" s="179"/>
      <c r="V465" s="179"/>
      <c r="W465" s="179"/>
      <c r="X465" s="179"/>
      <c r="Y465" s="179"/>
      <c r="Z465" s="179"/>
      <c r="AA465" s="179"/>
      <c r="AB465" s="179"/>
      <c r="AC465" s="179"/>
      <c r="AD465" s="179"/>
      <c r="AE465" s="179"/>
      <c r="AF465" s="179"/>
      <c r="AG465" s="179"/>
      <c r="AH465" s="179"/>
      <c r="AI465" s="179"/>
      <c r="AJ465" s="179"/>
      <c r="AK465" s="179"/>
      <c r="AL465" s="179"/>
      <c r="AM465" s="179"/>
      <c r="AN465" s="179"/>
      <c r="AO465" s="179"/>
    </row>
    <row r="466" spans="3:41" hidden="1" x14ac:dyDescent="0.2">
      <c r="C466" s="179" t="str">
        <f t="shared" si="238"/>
        <v>Business</v>
      </c>
      <c r="D466" s="179" t="str">
        <f t="shared" si="239"/>
        <v/>
      </c>
      <c r="E466" s="179"/>
      <c r="F466" s="179"/>
      <c r="G466" s="179">
        <f>G107*'WK3 - Notional GI Yr1 YIELD'!$D51</f>
        <v>0</v>
      </c>
      <c r="H466" s="179">
        <f>H107*'WK3 - Notional GI Yr1 YIELD'!$D51</f>
        <v>0</v>
      </c>
      <c r="I466" s="179">
        <f>I107*'WK3 - Notional GI Yr1 YIELD'!$D51</f>
        <v>0</v>
      </c>
      <c r="J466" s="179">
        <f>J107*'WK3 - Notional GI Yr1 YIELD'!$D51</f>
        <v>0</v>
      </c>
      <c r="K466" s="179">
        <f>K107*'WK3 - Notional GI Yr1 YIELD'!$D51</f>
        <v>0</v>
      </c>
      <c r="L466" s="179">
        <f>L107*'WK3 - Notional GI Yr1 YIELD'!$D51</f>
        <v>0</v>
      </c>
      <c r="M466" s="179"/>
      <c r="N466" s="179"/>
      <c r="O466" s="179"/>
      <c r="P466" s="179"/>
      <c r="Q466" s="179"/>
      <c r="R466" s="179"/>
      <c r="S466" s="179"/>
      <c r="T466" s="179"/>
      <c r="U466" s="179"/>
      <c r="V466" s="179"/>
      <c r="W466" s="179"/>
      <c r="X466" s="179"/>
      <c r="Y466" s="179"/>
      <c r="Z466" s="179"/>
      <c r="AA466" s="179"/>
      <c r="AB466" s="179"/>
      <c r="AC466" s="179"/>
      <c r="AD466" s="179"/>
      <c r="AE466" s="179"/>
      <c r="AF466" s="179"/>
      <c r="AG466" s="179"/>
      <c r="AH466" s="179"/>
      <c r="AI466" s="179"/>
      <c r="AJ466" s="179"/>
      <c r="AK466" s="179"/>
      <c r="AL466" s="179"/>
      <c r="AM466" s="179"/>
      <c r="AN466" s="179"/>
      <c r="AO466" s="179"/>
    </row>
    <row r="467" spans="3:41" hidden="1" x14ac:dyDescent="0.2">
      <c r="C467" s="179" t="str">
        <f t="shared" si="238"/>
        <v>Business</v>
      </c>
      <c r="D467" s="179" t="str">
        <f t="shared" si="239"/>
        <v/>
      </c>
      <c r="E467" s="179"/>
      <c r="F467" s="179"/>
      <c r="G467" s="179">
        <f>G108*'WK3 - Notional GI Yr1 YIELD'!$D52</f>
        <v>0</v>
      </c>
      <c r="H467" s="179">
        <f>H108*'WK3 - Notional GI Yr1 YIELD'!$D52</f>
        <v>0</v>
      </c>
      <c r="I467" s="179">
        <f>I108*'WK3 - Notional GI Yr1 YIELD'!$D52</f>
        <v>0</v>
      </c>
      <c r="J467" s="179">
        <f>J108*'WK3 - Notional GI Yr1 YIELD'!$D52</f>
        <v>0</v>
      </c>
      <c r="K467" s="179">
        <f>K108*'WK3 - Notional GI Yr1 YIELD'!$D52</f>
        <v>0</v>
      </c>
      <c r="L467" s="179">
        <f>L108*'WK3 - Notional GI Yr1 YIELD'!$D52</f>
        <v>0</v>
      </c>
      <c r="M467" s="179"/>
      <c r="N467" s="179"/>
      <c r="O467" s="179"/>
      <c r="P467" s="179"/>
      <c r="Q467" s="179"/>
      <c r="R467" s="179"/>
      <c r="S467" s="179"/>
      <c r="T467" s="179"/>
      <c r="U467" s="179"/>
      <c r="V467" s="179"/>
      <c r="W467" s="179"/>
      <c r="X467" s="179"/>
      <c r="Y467" s="179"/>
      <c r="Z467" s="179"/>
      <c r="AA467" s="179"/>
      <c r="AB467" s="179"/>
      <c r="AC467" s="179"/>
      <c r="AD467" s="179"/>
      <c r="AE467" s="179"/>
      <c r="AF467" s="179"/>
      <c r="AG467" s="179"/>
      <c r="AH467" s="179"/>
      <c r="AI467" s="179"/>
      <c r="AJ467" s="179"/>
      <c r="AK467" s="179"/>
      <c r="AL467" s="179"/>
      <c r="AM467" s="179"/>
      <c r="AN467" s="179"/>
      <c r="AO467" s="179"/>
    </row>
    <row r="468" spans="3:41" hidden="1" x14ac:dyDescent="0.2">
      <c r="C468" s="179" t="str">
        <f t="shared" si="238"/>
        <v>Business</v>
      </c>
      <c r="D468" s="179" t="str">
        <f t="shared" si="239"/>
        <v/>
      </c>
      <c r="E468" s="179"/>
      <c r="F468" s="179"/>
      <c r="G468" s="179">
        <f>G109*'WK3 - Notional GI Yr1 YIELD'!$D53</f>
        <v>0</v>
      </c>
      <c r="H468" s="179">
        <f>H109*'WK3 - Notional GI Yr1 YIELD'!$D53</f>
        <v>0</v>
      </c>
      <c r="I468" s="179">
        <f>I109*'WK3 - Notional GI Yr1 YIELD'!$D53</f>
        <v>0</v>
      </c>
      <c r="J468" s="179">
        <f>J109*'WK3 - Notional GI Yr1 YIELD'!$D53</f>
        <v>0</v>
      </c>
      <c r="K468" s="179">
        <f>K109*'WK3 - Notional GI Yr1 YIELD'!$D53</f>
        <v>0</v>
      </c>
      <c r="L468" s="179">
        <f>L109*'WK3 - Notional GI Yr1 YIELD'!$D53</f>
        <v>0</v>
      </c>
      <c r="M468" s="179"/>
      <c r="N468" s="179"/>
      <c r="O468" s="179"/>
      <c r="P468" s="179"/>
      <c r="Q468" s="179"/>
      <c r="R468" s="179"/>
      <c r="S468" s="179"/>
      <c r="T468" s="179"/>
      <c r="U468" s="179"/>
      <c r="V468" s="179"/>
      <c r="W468" s="179"/>
      <c r="X468" s="179"/>
      <c r="Y468" s="179"/>
      <c r="Z468" s="179"/>
      <c r="AA468" s="179"/>
      <c r="AB468" s="179"/>
      <c r="AC468" s="179"/>
      <c r="AD468" s="179"/>
      <c r="AE468" s="179"/>
      <c r="AF468" s="179"/>
      <c r="AG468" s="179"/>
      <c r="AH468" s="179"/>
      <c r="AI468" s="179"/>
      <c r="AJ468" s="179"/>
      <c r="AK468" s="179"/>
      <c r="AL468" s="179"/>
      <c r="AM468" s="179"/>
      <c r="AN468" s="179"/>
      <c r="AO468" s="179"/>
    </row>
    <row r="469" spans="3:41" hidden="1" x14ac:dyDescent="0.2">
      <c r="C469" s="179" t="str">
        <f t="shared" si="238"/>
        <v>Business</v>
      </c>
      <c r="D469" s="179" t="str">
        <f t="shared" si="239"/>
        <v/>
      </c>
      <c r="E469" s="179"/>
      <c r="F469" s="179"/>
      <c r="G469" s="179">
        <f>G110*'WK3 - Notional GI Yr1 YIELD'!$D54</f>
        <v>0</v>
      </c>
      <c r="H469" s="179">
        <f>H110*'WK3 - Notional GI Yr1 YIELD'!$D54</f>
        <v>0</v>
      </c>
      <c r="I469" s="179">
        <f>I110*'WK3 - Notional GI Yr1 YIELD'!$D54</f>
        <v>0</v>
      </c>
      <c r="J469" s="179">
        <f>J110*'WK3 - Notional GI Yr1 YIELD'!$D54</f>
        <v>0</v>
      </c>
      <c r="K469" s="179">
        <f>K110*'WK3 - Notional GI Yr1 YIELD'!$D54</f>
        <v>0</v>
      </c>
      <c r="L469" s="179">
        <f>L110*'WK3 - Notional GI Yr1 YIELD'!$D54</f>
        <v>0</v>
      </c>
      <c r="M469" s="179"/>
      <c r="N469" s="179"/>
      <c r="O469" s="179"/>
      <c r="P469" s="179"/>
      <c r="Q469" s="179"/>
      <c r="R469" s="179"/>
      <c r="S469" s="179"/>
      <c r="T469" s="179"/>
      <c r="U469" s="179"/>
      <c r="V469" s="179"/>
      <c r="W469" s="179"/>
      <c r="X469" s="179"/>
      <c r="Y469" s="179"/>
      <c r="Z469" s="179"/>
      <c r="AA469" s="179"/>
      <c r="AB469" s="179"/>
      <c r="AC469" s="179"/>
      <c r="AD469" s="179"/>
      <c r="AE469" s="179"/>
      <c r="AF469" s="179"/>
      <c r="AG469" s="179"/>
      <c r="AH469" s="179"/>
      <c r="AI469" s="179"/>
      <c r="AJ469" s="179"/>
      <c r="AK469" s="179"/>
      <c r="AL469" s="179"/>
      <c r="AM469" s="179"/>
      <c r="AN469" s="179"/>
      <c r="AO469" s="179"/>
    </row>
    <row r="470" spans="3:41" hidden="1" x14ac:dyDescent="0.2">
      <c r="C470" s="179" t="str">
        <f t="shared" ref="C470:D489" si="240">C111</f>
        <v>Business</v>
      </c>
      <c r="D470" s="179" t="str">
        <f t="shared" si="240"/>
        <v/>
      </c>
      <c r="E470" s="179"/>
      <c r="F470" s="179"/>
      <c r="G470" s="179">
        <f>G111*'WK3 - Notional GI Yr1 YIELD'!$D55</f>
        <v>0</v>
      </c>
      <c r="H470" s="179">
        <f>H111*'WK3 - Notional GI Yr1 YIELD'!$D55</f>
        <v>0</v>
      </c>
      <c r="I470" s="179">
        <f>I111*'WK3 - Notional GI Yr1 YIELD'!$D55</f>
        <v>0</v>
      </c>
      <c r="J470" s="179">
        <f>J111*'WK3 - Notional GI Yr1 YIELD'!$D55</f>
        <v>0</v>
      </c>
      <c r="K470" s="179">
        <f>K111*'WK3 - Notional GI Yr1 YIELD'!$D55</f>
        <v>0</v>
      </c>
      <c r="L470" s="179">
        <f>L111*'WK3 - Notional GI Yr1 YIELD'!$D55</f>
        <v>0</v>
      </c>
      <c r="M470" s="179"/>
      <c r="N470" s="179"/>
      <c r="O470" s="179"/>
      <c r="P470" s="179"/>
      <c r="Q470" s="179"/>
      <c r="R470" s="179"/>
      <c r="S470" s="179"/>
      <c r="T470" s="179"/>
      <c r="U470" s="179"/>
      <c r="V470" s="179"/>
      <c r="W470" s="179"/>
      <c r="X470" s="179"/>
      <c r="Y470" s="179"/>
      <c r="Z470" s="179"/>
      <c r="AA470" s="179"/>
      <c r="AB470" s="179"/>
      <c r="AC470" s="179"/>
      <c r="AD470" s="179"/>
      <c r="AE470" s="179"/>
      <c r="AF470" s="179"/>
      <c r="AG470" s="179"/>
      <c r="AH470" s="179"/>
      <c r="AI470" s="179"/>
      <c r="AJ470" s="179"/>
      <c r="AK470" s="179"/>
      <c r="AL470" s="179"/>
      <c r="AM470" s="179"/>
      <c r="AN470" s="179"/>
      <c r="AO470" s="179"/>
    </row>
    <row r="471" spans="3:41" hidden="1" x14ac:dyDescent="0.2">
      <c r="C471" s="179" t="str">
        <f t="shared" si="240"/>
        <v>Business</v>
      </c>
      <c r="D471" s="179" t="str">
        <f t="shared" si="240"/>
        <v/>
      </c>
      <c r="E471" s="179"/>
      <c r="F471" s="179"/>
      <c r="G471" s="179">
        <f>G112*'WK3 - Notional GI Yr1 YIELD'!$D56</f>
        <v>0</v>
      </c>
      <c r="H471" s="179">
        <f>H112*'WK3 - Notional GI Yr1 YIELD'!$D56</f>
        <v>0</v>
      </c>
      <c r="I471" s="179">
        <f>I112*'WK3 - Notional GI Yr1 YIELD'!$D56</f>
        <v>0</v>
      </c>
      <c r="J471" s="179">
        <f>J112*'WK3 - Notional GI Yr1 YIELD'!$D56</f>
        <v>0</v>
      </c>
      <c r="K471" s="179">
        <f>K112*'WK3 - Notional GI Yr1 YIELD'!$D56</f>
        <v>0</v>
      </c>
      <c r="L471" s="179">
        <f>L112*'WK3 - Notional GI Yr1 YIELD'!$D56</f>
        <v>0</v>
      </c>
      <c r="M471" s="179"/>
      <c r="N471" s="179"/>
      <c r="O471" s="179"/>
      <c r="P471" s="179"/>
      <c r="Q471" s="179"/>
      <c r="R471" s="179"/>
      <c r="S471" s="179"/>
      <c r="T471" s="179"/>
      <c r="U471" s="179"/>
      <c r="V471" s="179"/>
      <c r="W471" s="179"/>
      <c r="X471" s="179"/>
      <c r="Y471" s="179"/>
      <c r="Z471" s="179"/>
      <c r="AA471" s="179"/>
      <c r="AB471" s="179"/>
      <c r="AC471" s="179"/>
      <c r="AD471" s="179"/>
      <c r="AE471" s="179"/>
      <c r="AF471" s="179"/>
      <c r="AG471" s="179"/>
      <c r="AH471" s="179"/>
      <c r="AI471" s="179"/>
      <c r="AJ471" s="179"/>
      <c r="AK471" s="179"/>
      <c r="AL471" s="179"/>
      <c r="AM471" s="179"/>
      <c r="AN471" s="179"/>
      <c r="AO471" s="179"/>
    </row>
    <row r="472" spans="3:41" hidden="1" x14ac:dyDescent="0.2">
      <c r="C472" s="179" t="str">
        <f t="shared" si="240"/>
        <v>Business</v>
      </c>
      <c r="D472" s="179" t="str">
        <f t="shared" si="240"/>
        <v/>
      </c>
      <c r="E472" s="179"/>
      <c r="F472" s="179"/>
      <c r="G472" s="179">
        <f>G113*'WK3 - Notional GI Yr1 YIELD'!$D57</f>
        <v>0</v>
      </c>
      <c r="H472" s="179">
        <f>H113*'WK3 - Notional GI Yr1 YIELD'!$D57</f>
        <v>0</v>
      </c>
      <c r="I472" s="179">
        <f>I113*'WK3 - Notional GI Yr1 YIELD'!$D57</f>
        <v>0</v>
      </c>
      <c r="J472" s="179">
        <f>J113*'WK3 - Notional GI Yr1 YIELD'!$D57</f>
        <v>0</v>
      </c>
      <c r="K472" s="179">
        <f>K113*'WK3 - Notional GI Yr1 YIELD'!$D57</f>
        <v>0</v>
      </c>
      <c r="L472" s="179">
        <f>L113*'WK3 - Notional GI Yr1 YIELD'!$D57</f>
        <v>0</v>
      </c>
      <c r="M472" s="179"/>
      <c r="N472" s="179"/>
      <c r="O472" s="179"/>
      <c r="P472" s="179"/>
      <c r="Q472" s="179"/>
      <c r="R472" s="179"/>
      <c r="S472" s="179"/>
      <c r="T472" s="179"/>
      <c r="U472" s="179"/>
      <c r="V472" s="179"/>
      <c r="W472" s="179"/>
      <c r="X472" s="179"/>
      <c r="Y472" s="179"/>
      <c r="Z472" s="179"/>
      <c r="AA472" s="179"/>
      <c r="AB472" s="179"/>
      <c r="AC472" s="179"/>
      <c r="AD472" s="179"/>
      <c r="AE472" s="179"/>
      <c r="AF472" s="179"/>
      <c r="AG472" s="179"/>
      <c r="AH472" s="179"/>
      <c r="AI472" s="179"/>
      <c r="AJ472" s="179"/>
      <c r="AK472" s="179"/>
      <c r="AL472" s="179"/>
      <c r="AM472" s="179"/>
      <c r="AN472" s="179"/>
      <c r="AO472" s="179"/>
    </row>
    <row r="473" spans="3:41" hidden="1" x14ac:dyDescent="0.2">
      <c r="C473" s="179" t="str">
        <f t="shared" si="240"/>
        <v>Business</v>
      </c>
      <c r="D473" s="179" t="str">
        <f t="shared" si="240"/>
        <v/>
      </c>
      <c r="E473" s="179"/>
      <c r="F473" s="179"/>
      <c r="G473" s="179">
        <f>G114*'WK3 - Notional GI Yr1 YIELD'!$D58</f>
        <v>0</v>
      </c>
      <c r="H473" s="179">
        <f>H114*'WK3 - Notional GI Yr1 YIELD'!$D58</f>
        <v>0</v>
      </c>
      <c r="I473" s="179">
        <f>I114*'WK3 - Notional GI Yr1 YIELD'!$D58</f>
        <v>0</v>
      </c>
      <c r="J473" s="179">
        <f>J114*'WK3 - Notional GI Yr1 YIELD'!$D58</f>
        <v>0</v>
      </c>
      <c r="K473" s="179">
        <f>K114*'WK3 - Notional GI Yr1 YIELD'!$D58</f>
        <v>0</v>
      </c>
      <c r="L473" s="179">
        <f>L114*'WK3 - Notional GI Yr1 YIELD'!$D58</f>
        <v>0</v>
      </c>
      <c r="M473" s="179"/>
      <c r="N473" s="179"/>
      <c r="O473" s="179"/>
      <c r="P473" s="179"/>
      <c r="Q473" s="179"/>
      <c r="R473" s="179"/>
      <c r="S473" s="179"/>
      <c r="T473" s="179"/>
      <c r="U473" s="179"/>
      <c r="V473" s="179"/>
      <c r="W473" s="179"/>
      <c r="X473" s="179"/>
      <c r="Y473" s="179"/>
      <c r="Z473" s="179"/>
      <c r="AA473" s="179"/>
      <c r="AB473" s="179"/>
      <c r="AC473" s="179"/>
      <c r="AD473" s="179"/>
      <c r="AE473" s="179"/>
      <c r="AF473" s="179"/>
      <c r="AG473" s="179"/>
      <c r="AH473" s="179"/>
      <c r="AI473" s="179"/>
      <c r="AJ473" s="179"/>
      <c r="AK473" s="179"/>
      <c r="AL473" s="179"/>
      <c r="AM473" s="179"/>
      <c r="AN473" s="179"/>
      <c r="AO473" s="179"/>
    </row>
    <row r="474" spans="3:41" hidden="1" x14ac:dyDescent="0.2">
      <c r="C474" s="179" t="str">
        <f t="shared" si="240"/>
        <v>Business</v>
      </c>
      <c r="D474" s="179" t="str">
        <f t="shared" si="240"/>
        <v/>
      </c>
      <c r="E474" s="179"/>
      <c r="F474" s="179"/>
      <c r="G474" s="179">
        <f>G115*'WK3 - Notional GI Yr1 YIELD'!$D59</f>
        <v>0</v>
      </c>
      <c r="H474" s="179">
        <f>H115*'WK3 - Notional GI Yr1 YIELD'!$D59</f>
        <v>0</v>
      </c>
      <c r="I474" s="179">
        <f>I115*'WK3 - Notional GI Yr1 YIELD'!$D59</f>
        <v>0</v>
      </c>
      <c r="J474" s="179">
        <f>J115*'WK3 - Notional GI Yr1 YIELD'!$D59</f>
        <v>0</v>
      </c>
      <c r="K474" s="179">
        <f>K115*'WK3 - Notional GI Yr1 YIELD'!$D59</f>
        <v>0</v>
      </c>
      <c r="L474" s="179">
        <f>L115*'WK3 - Notional GI Yr1 YIELD'!$D59</f>
        <v>0</v>
      </c>
      <c r="M474" s="179"/>
      <c r="N474" s="179"/>
      <c r="O474" s="179"/>
      <c r="P474" s="179"/>
      <c r="Q474" s="179"/>
      <c r="R474" s="179"/>
      <c r="S474" s="179"/>
      <c r="T474" s="179"/>
      <c r="U474" s="179"/>
      <c r="V474" s="179"/>
      <c r="W474" s="179"/>
      <c r="X474" s="179"/>
      <c r="Y474" s="179"/>
      <c r="Z474" s="179"/>
      <c r="AA474" s="179"/>
      <c r="AB474" s="179"/>
      <c r="AC474" s="179"/>
      <c r="AD474" s="179"/>
      <c r="AE474" s="179"/>
      <c r="AF474" s="179"/>
      <c r="AG474" s="179"/>
      <c r="AH474" s="179"/>
      <c r="AI474" s="179"/>
      <c r="AJ474" s="179"/>
      <c r="AK474" s="179"/>
      <c r="AL474" s="179"/>
      <c r="AM474" s="179"/>
      <c r="AN474" s="179"/>
      <c r="AO474" s="179"/>
    </row>
    <row r="475" spans="3:41" hidden="1" x14ac:dyDescent="0.2">
      <c r="C475" s="179" t="str">
        <f t="shared" si="240"/>
        <v>Special rate</v>
      </c>
      <c r="D475" s="179" t="str">
        <f t="shared" si="240"/>
        <v/>
      </c>
      <c r="E475" s="179"/>
      <c r="F475" s="179"/>
      <c r="G475" s="179">
        <f>G116*'WK3 - Notional GI Yr1 YIELD'!$D102</f>
        <v>0</v>
      </c>
      <c r="H475" s="179">
        <f>H116*'WK3 - Notional GI Yr1 YIELD'!$D102</f>
        <v>0</v>
      </c>
      <c r="I475" s="179">
        <f>I116*'WK3 - Notional GI Yr1 YIELD'!$D102</f>
        <v>0</v>
      </c>
      <c r="J475" s="179">
        <f>J116*'WK3 - Notional GI Yr1 YIELD'!$D102</f>
        <v>0</v>
      </c>
      <c r="K475" s="179">
        <f>K116*'WK3 - Notional GI Yr1 YIELD'!$D102</f>
        <v>0</v>
      </c>
      <c r="L475" s="179">
        <f>L116*'WK3 - Notional GI Yr1 YIELD'!$D102</f>
        <v>0</v>
      </c>
      <c r="M475" s="179"/>
      <c r="N475" s="179"/>
      <c r="O475" s="179"/>
      <c r="P475" s="179"/>
      <c r="Q475" s="179"/>
      <c r="R475" s="179"/>
      <c r="S475" s="179"/>
      <c r="T475" s="179"/>
      <c r="U475" s="179"/>
      <c r="V475" s="179"/>
      <c r="W475" s="179"/>
      <c r="X475" s="179"/>
      <c r="Y475" s="179"/>
      <c r="Z475" s="179"/>
      <c r="AA475" s="179"/>
      <c r="AB475" s="179"/>
      <c r="AC475" s="179"/>
      <c r="AD475" s="179"/>
      <c r="AE475" s="179"/>
      <c r="AF475" s="179"/>
      <c r="AG475" s="179"/>
      <c r="AH475" s="179"/>
      <c r="AI475" s="179"/>
      <c r="AJ475" s="179"/>
      <c r="AK475" s="179"/>
      <c r="AL475" s="179"/>
      <c r="AM475" s="179"/>
      <c r="AN475" s="179"/>
      <c r="AO475" s="179"/>
    </row>
    <row r="476" spans="3:41" hidden="1" x14ac:dyDescent="0.2">
      <c r="C476" s="179" t="str">
        <f t="shared" si="240"/>
        <v>Special rate</v>
      </c>
      <c r="D476" s="179" t="str">
        <f t="shared" ref="D476:D489" si="241">D117</f>
        <v/>
      </c>
      <c r="E476" s="179"/>
      <c r="F476" s="179"/>
      <c r="G476" s="179">
        <f>G117*'WK3 - Notional GI Yr1 YIELD'!$D103</f>
        <v>0</v>
      </c>
      <c r="H476" s="179">
        <f>H117*'WK3 - Notional GI Yr1 YIELD'!$D103</f>
        <v>0</v>
      </c>
      <c r="I476" s="179">
        <f>I117*'WK3 - Notional GI Yr1 YIELD'!$D103</f>
        <v>0</v>
      </c>
      <c r="J476" s="179">
        <f>J117*'WK3 - Notional GI Yr1 YIELD'!$D103</f>
        <v>0</v>
      </c>
      <c r="K476" s="179">
        <f>K117*'WK3 - Notional GI Yr1 YIELD'!$D103</f>
        <v>0</v>
      </c>
      <c r="L476" s="179">
        <f>L117*'WK3 - Notional GI Yr1 YIELD'!$D103</f>
        <v>0</v>
      </c>
      <c r="M476" s="179"/>
      <c r="N476" s="179"/>
      <c r="O476" s="179"/>
      <c r="P476" s="179"/>
      <c r="Q476" s="179"/>
      <c r="R476" s="179"/>
      <c r="S476" s="179"/>
      <c r="T476" s="179"/>
      <c r="U476" s="179"/>
      <c r="V476" s="179"/>
      <c r="W476" s="179"/>
      <c r="X476" s="179"/>
      <c r="Y476" s="179"/>
      <c r="Z476" s="179"/>
      <c r="AA476" s="179"/>
      <c r="AB476" s="179"/>
      <c r="AC476" s="179"/>
      <c r="AD476" s="179"/>
      <c r="AE476" s="179"/>
      <c r="AF476" s="179"/>
      <c r="AG476" s="179"/>
      <c r="AH476" s="179"/>
      <c r="AI476" s="179"/>
      <c r="AJ476" s="179"/>
      <c r="AK476" s="179"/>
      <c r="AL476" s="179"/>
      <c r="AM476" s="179"/>
      <c r="AN476" s="179"/>
      <c r="AO476" s="179"/>
    </row>
    <row r="477" spans="3:41" hidden="1" x14ac:dyDescent="0.2">
      <c r="C477" s="179" t="str">
        <f t="shared" si="240"/>
        <v>Special rate</v>
      </c>
      <c r="D477" s="179" t="str">
        <f t="shared" si="241"/>
        <v/>
      </c>
      <c r="E477" s="179"/>
      <c r="F477" s="179"/>
      <c r="G477" s="179">
        <f>G118*'WK3 - Notional GI Yr1 YIELD'!$D104</f>
        <v>0</v>
      </c>
      <c r="H477" s="179">
        <f>H118*'WK3 - Notional GI Yr1 YIELD'!$D104</f>
        <v>0</v>
      </c>
      <c r="I477" s="179">
        <f>I118*'WK3 - Notional GI Yr1 YIELD'!$D104</f>
        <v>0</v>
      </c>
      <c r="J477" s="179">
        <f>J118*'WK3 - Notional GI Yr1 YIELD'!$D104</f>
        <v>0</v>
      </c>
      <c r="K477" s="179">
        <f>K118*'WK3 - Notional GI Yr1 YIELD'!$D104</f>
        <v>0</v>
      </c>
      <c r="L477" s="179">
        <f>L118*'WK3 - Notional GI Yr1 YIELD'!$D104</f>
        <v>0</v>
      </c>
      <c r="M477" s="179"/>
      <c r="N477" s="179"/>
      <c r="O477" s="179"/>
      <c r="P477" s="179"/>
      <c r="Q477" s="179"/>
      <c r="R477" s="179"/>
      <c r="S477" s="179"/>
      <c r="T477" s="179"/>
      <c r="U477" s="179"/>
      <c r="V477" s="179"/>
      <c r="W477" s="179"/>
      <c r="X477" s="179"/>
      <c r="Y477" s="179"/>
      <c r="Z477" s="179"/>
      <c r="AA477" s="179"/>
      <c r="AB477" s="179"/>
      <c r="AC477" s="179"/>
      <c r="AD477" s="179"/>
      <c r="AE477" s="179"/>
      <c r="AF477" s="179"/>
      <c r="AG477" s="179"/>
      <c r="AH477" s="179"/>
      <c r="AI477" s="179"/>
      <c r="AJ477" s="179"/>
      <c r="AK477" s="179"/>
      <c r="AL477" s="179"/>
      <c r="AM477" s="179"/>
      <c r="AN477" s="179"/>
      <c r="AO477" s="179"/>
    </row>
    <row r="478" spans="3:41" hidden="1" x14ac:dyDescent="0.2">
      <c r="C478" s="179" t="str">
        <f t="shared" si="240"/>
        <v>Special rate</v>
      </c>
      <c r="D478" s="179" t="str">
        <f t="shared" si="241"/>
        <v/>
      </c>
      <c r="E478" s="179"/>
      <c r="F478" s="179"/>
      <c r="G478" s="179">
        <f>G119*'WK3 - Notional GI Yr1 YIELD'!$D105</f>
        <v>0</v>
      </c>
      <c r="H478" s="179">
        <f>H119*'WK3 - Notional GI Yr1 YIELD'!$D105</f>
        <v>0</v>
      </c>
      <c r="I478" s="179">
        <f>I119*'WK3 - Notional GI Yr1 YIELD'!$D105</f>
        <v>0</v>
      </c>
      <c r="J478" s="179">
        <f>J119*'WK3 - Notional GI Yr1 YIELD'!$D105</f>
        <v>0</v>
      </c>
      <c r="K478" s="179">
        <f>K119*'WK3 - Notional GI Yr1 YIELD'!$D105</f>
        <v>0</v>
      </c>
      <c r="L478" s="179">
        <f>L119*'WK3 - Notional GI Yr1 YIELD'!$D105</f>
        <v>0</v>
      </c>
      <c r="M478" s="179"/>
      <c r="N478" s="179"/>
      <c r="O478" s="179"/>
      <c r="P478" s="179"/>
      <c r="Q478" s="179"/>
      <c r="R478" s="179"/>
      <c r="S478" s="179"/>
      <c r="T478" s="179"/>
      <c r="U478" s="179"/>
      <c r="V478" s="179"/>
      <c r="W478" s="179"/>
      <c r="X478" s="179"/>
      <c r="Y478" s="179"/>
      <c r="Z478" s="179"/>
      <c r="AA478" s="179"/>
      <c r="AB478" s="179"/>
      <c r="AC478" s="179"/>
      <c r="AD478" s="179"/>
      <c r="AE478" s="179"/>
      <c r="AF478" s="179"/>
      <c r="AG478" s="179"/>
      <c r="AH478" s="179"/>
      <c r="AI478" s="179"/>
      <c r="AJ478" s="179"/>
      <c r="AK478" s="179"/>
      <c r="AL478" s="179"/>
      <c r="AM478" s="179"/>
      <c r="AN478" s="179"/>
      <c r="AO478" s="179"/>
    </row>
    <row r="479" spans="3:41" hidden="1" x14ac:dyDescent="0.2">
      <c r="C479" s="179" t="str">
        <f t="shared" si="240"/>
        <v>Special rate</v>
      </c>
      <c r="D479" s="179" t="str">
        <f t="shared" si="241"/>
        <v/>
      </c>
      <c r="E479" s="179"/>
      <c r="F479" s="179"/>
      <c r="G479" s="179">
        <f>G120*'WK3 - Notional GI Yr1 YIELD'!$D106</f>
        <v>0</v>
      </c>
      <c r="H479" s="179">
        <f>H120*'WK3 - Notional GI Yr1 YIELD'!$D106</f>
        <v>0</v>
      </c>
      <c r="I479" s="179">
        <f>I120*'WK3 - Notional GI Yr1 YIELD'!$D106</f>
        <v>0</v>
      </c>
      <c r="J479" s="179">
        <f>J120*'WK3 - Notional GI Yr1 YIELD'!$D106</f>
        <v>0</v>
      </c>
      <c r="K479" s="179">
        <f>K120*'WK3 - Notional GI Yr1 YIELD'!$D106</f>
        <v>0</v>
      </c>
      <c r="L479" s="179">
        <f>L120*'WK3 - Notional GI Yr1 YIELD'!$D106</f>
        <v>0</v>
      </c>
      <c r="M479" s="179"/>
      <c r="N479" s="179"/>
      <c r="O479" s="179"/>
      <c r="P479" s="179"/>
      <c r="Q479" s="179"/>
      <c r="R479" s="179"/>
      <c r="S479" s="179"/>
      <c r="T479" s="179"/>
      <c r="U479" s="179"/>
      <c r="V479" s="179"/>
      <c r="W479" s="179"/>
      <c r="X479" s="179"/>
      <c r="Y479" s="179"/>
      <c r="Z479" s="179"/>
      <c r="AA479" s="179"/>
      <c r="AB479" s="179"/>
      <c r="AC479" s="179"/>
      <c r="AD479" s="179"/>
      <c r="AE479" s="179"/>
      <c r="AF479" s="179"/>
      <c r="AG479" s="179"/>
      <c r="AH479" s="179"/>
      <c r="AI479" s="179"/>
      <c r="AJ479" s="179"/>
      <c r="AK479" s="179"/>
      <c r="AL479" s="179"/>
      <c r="AM479" s="179"/>
      <c r="AN479" s="179"/>
      <c r="AO479" s="179"/>
    </row>
    <row r="480" spans="3:41" hidden="1" x14ac:dyDescent="0.2">
      <c r="C480" s="179" t="str">
        <f t="shared" si="240"/>
        <v>Special rate</v>
      </c>
      <c r="D480" s="179" t="str">
        <f t="shared" si="241"/>
        <v/>
      </c>
      <c r="E480" s="179"/>
      <c r="F480" s="179"/>
      <c r="G480" s="179">
        <f>G121*'WK3 - Notional GI Yr1 YIELD'!$D107</f>
        <v>0</v>
      </c>
      <c r="H480" s="179">
        <f>H121*'WK3 - Notional GI Yr1 YIELD'!$D107</f>
        <v>0</v>
      </c>
      <c r="I480" s="179">
        <f>I121*'WK3 - Notional GI Yr1 YIELD'!$D107</f>
        <v>0</v>
      </c>
      <c r="J480" s="179">
        <f>J121*'WK3 - Notional GI Yr1 YIELD'!$D107</f>
        <v>0</v>
      </c>
      <c r="K480" s="179">
        <f>K121*'WK3 - Notional GI Yr1 YIELD'!$D107</f>
        <v>0</v>
      </c>
      <c r="L480" s="179">
        <f>L121*'WK3 - Notional GI Yr1 YIELD'!$D107</f>
        <v>0</v>
      </c>
      <c r="M480" s="179"/>
      <c r="N480" s="179"/>
      <c r="O480" s="179"/>
      <c r="P480" s="179"/>
      <c r="Q480" s="179"/>
      <c r="R480" s="179"/>
      <c r="S480" s="179"/>
      <c r="T480" s="179"/>
      <c r="U480" s="179"/>
      <c r="V480" s="179"/>
      <c r="W480" s="179"/>
      <c r="X480" s="179"/>
      <c r="Y480" s="179"/>
      <c r="Z480" s="179"/>
      <c r="AA480" s="179"/>
      <c r="AB480" s="179"/>
      <c r="AC480" s="179"/>
      <c r="AD480" s="179"/>
      <c r="AE480" s="179"/>
      <c r="AF480" s="179"/>
      <c r="AG480" s="179"/>
      <c r="AH480" s="179"/>
      <c r="AI480" s="179"/>
      <c r="AJ480" s="179"/>
      <c r="AK480" s="179"/>
      <c r="AL480" s="179"/>
      <c r="AM480" s="179"/>
      <c r="AN480" s="179"/>
      <c r="AO480" s="179"/>
    </row>
    <row r="481" spans="3:41" hidden="1" x14ac:dyDescent="0.2">
      <c r="C481" s="179" t="str">
        <f t="shared" si="240"/>
        <v>Special rate</v>
      </c>
      <c r="D481" s="179" t="str">
        <f t="shared" si="241"/>
        <v/>
      </c>
      <c r="E481" s="179"/>
      <c r="F481" s="179"/>
      <c r="G481" s="179">
        <f>G122*'WK3 - Notional GI Yr1 YIELD'!$D108</f>
        <v>0</v>
      </c>
      <c r="H481" s="179">
        <f>H122*'WK3 - Notional GI Yr1 YIELD'!$D108</f>
        <v>0</v>
      </c>
      <c r="I481" s="179">
        <f>I122*'WK3 - Notional GI Yr1 YIELD'!$D108</f>
        <v>0</v>
      </c>
      <c r="J481" s="179">
        <f>J122*'WK3 - Notional GI Yr1 YIELD'!$D108</f>
        <v>0</v>
      </c>
      <c r="K481" s="179">
        <f>K122*'WK3 - Notional GI Yr1 YIELD'!$D108</f>
        <v>0</v>
      </c>
      <c r="L481" s="179">
        <f>L122*'WK3 - Notional GI Yr1 YIELD'!$D108</f>
        <v>0</v>
      </c>
      <c r="M481" s="179"/>
      <c r="N481" s="179"/>
      <c r="O481" s="179"/>
      <c r="P481" s="179"/>
      <c r="Q481" s="179"/>
      <c r="R481" s="179"/>
      <c r="S481" s="179"/>
      <c r="T481" s="179"/>
      <c r="U481" s="179"/>
      <c r="V481" s="179"/>
      <c r="W481" s="179"/>
      <c r="X481" s="179"/>
      <c r="Y481" s="179"/>
      <c r="Z481" s="179"/>
      <c r="AA481" s="179"/>
      <c r="AB481" s="179"/>
      <c r="AC481" s="179"/>
      <c r="AD481" s="179"/>
      <c r="AE481" s="179"/>
      <c r="AF481" s="179"/>
      <c r="AG481" s="179"/>
      <c r="AH481" s="179"/>
      <c r="AI481" s="179"/>
      <c r="AJ481" s="179"/>
      <c r="AK481" s="179"/>
      <c r="AL481" s="179"/>
      <c r="AM481" s="179"/>
      <c r="AN481" s="179"/>
      <c r="AO481" s="179"/>
    </row>
    <row r="482" spans="3:41" hidden="1" x14ac:dyDescent="0.2">
      <c r="C482" s="179" t="str">
        <f t="shared" si="240"/>
        <v>Special rate</v>
      </c>
      <c r="D482" s="179" t="str">
        <f t="shared" si="241"/>
        <v/>
      </c>
      <c r="E482" s="179"/>
      <c r="F482" s="179"/>
      <c r="G482" s="179">
        <f>G123*'WK3 - Notional GI Yr1 YIELD'!$D109</f>
        <v>0</v>
      </c>
      <c r="H482" s="179">
        <f>H123*'WK3 - Notional GI Yr1 YIELD'!$D109</f>
        <v>0</v>
      </c>
      <c r="I482" s="179">
        <f>I123*'WK3 - Notional GI Yr1 YIELD'!$D109</f>
        <v>0</v>
      </c>
      <c r="J482" s="179">
        <f>J123*'WK3 - Notional GI Yr1 YIELD'!$D109</f>
        <v>0</v>
      </c>
      <c r="K482" s="179">
        <f>K123*'WK3 - Notional GI Yr1 YIELD'!$D109</f>
        <v>0</v>
      </c>
      <c r="L482" s="179">
        <f>L123*'WK3 - Notional GI Yr1 YIELD'!$D109</f>
        <v>0</v>
      </c>
      <c r="M482" s="179"/>
      <c r="N482" s="179"/>
      <c r="O482" s="179"/>
      <c r="P482" s="179"/>
      <c r="Q482" s="179"/>
      <c r="R482" s="179"/>
      <c r="S482" s="179"/>
      <c r="T482" s="179"/>
      <c r="U482" s="179"/>
      <c r="V482" s="179"/>
      <c r="W482" s="179"/>
      <c r="X482" s="179"/>
      <c r="Y482" s="179"/>
      <c r="Z482" s="179"/>
      <c r="AA482" s="179"/>
      <c r="AB482" s="179"/>
      <c r="AC482" s="179"/>
      <c r="AD482" s="179"/>
      <c r="AE482" s="179"/>
      <c r="AF482" s="179"/>
      <c r="AG482" s="179"/>
      <c r="AH482" s="179"/>
      <c r="AI482" s="179"/>
      <c r="AJ482" s="179"/>
      <c r="AK482" s="179"/>
      <c r="AL482" s="179"/>
      <c r="AM482" s="179"/>
      <c r="AN482" s="179"/>
      <c r="AO482" s="179"/>
    </row>
    <row r="483" spans="3:41" hidden="1" x14ac:dyDescent="0.2">
      <c r="C483" s="179" t="str">
        <f t="shared" si="240"/>
        <v>Special rate</v>
      </c>
      <c r="D483" s="179" t="str">
        <f t="shared" si="241"/>
        <v/>
      </c>
      <c r="E483" s="179"/>
      <c r="F483" s="179"/>
      <c r="G483" s="179">
        <f>G124*'WK3 - Notional GI Yr1 YIELD'!$D110</f>
        <v>0</v>
      </c>
      <c r="H483" s="179">
        <f>H124*'WK3 - Notional GI Yr1 YIELD'!$D110</f>
        <v>0</v>
      </c>
      <c r="I483" s="179">
        <f>I124*'WK3 - Notional GI Yr1 YIELD'!$D110</f>
        <v>0</v>
      </c>
      <c r="J483" s="179">
        <f>J124*'WK3 - Notional GI Yr1 YIELD'!$D110</f>
        <v>0</v>
      </c>
      <c r="K483" s="179">
        <f>K124*'WK3 - Notional GI Yr1 YIELD'!$D110</f>
        <v>0</v>
      </c>
      <c r="L483" s="179">
        <f>L124*'WK3 - Notional GI Yr1 YIELD'!$D110</f>
        <v>0</v>
      </c>
      <c r="M483" s="179"/>
      <c r="N483" s="179"/>
      <c r="O483" s="179"/>
      <c r="P483" s="179"/>
      <c r="Q483" s="179"/>
      <c r="R483" s="179"/>
      <c r="S483" s="179"/>
      <c r="T483" s="179"/>
      <c r="U483" s="179"/>
      <c r="V483" s="179"/>
      <c r="W483" s="179"/>
      <c r="X483" s="179"/>
      <c r="Y483" s="179"/>
      <c r="Z483" s="179"/>
      <c r="AA483" s="179"/>
      <c r="AB483" s="179"/>
      <c r="AC483" s="179"/>
      <c r="AD483" s="179"/>
      <c r="AE483" s="179"/>
      <c r="AF483" s="179"/>
      <c r="AG483" s="179"/>
      <c r="AH483" s="179"/>
      <c r="AI483" s="179"/>
      <c r="AJ483" s="179"/>
      <c r="AK483" s="179"/>
      <c r="AL483" s="179"/>
      <c r="AM483" s="179"/>
      <c r="AN483" s="179"/>
      <c r="AO483" s="179"/>
    </row>
    <row r="484" spans="3:41" hidden="1" x14ac:dyDescent="0.2">
      <c r="C484" s="179" t="str">
        <f t="shared" si="240"/>
        <v>Special rate</v>
      </c>
      <c r="D484" s="179" t="str">
        <f t="shared" si="241"/>
        <v/>
      </c>
      <c r="E484" s="179"/>
      <c r="F484" s="179"/>
      <c r="G484" s="179">
        <f>G125*'WK3 - Notional GI Yr1 YIELD'!$D111</f>
        <v>0</v>
      </c>
      <c r="H484" s="179">
        <f>H125*'WK3 - Notional GI Yr1 YIELD'!$D111</f>
        <v>0</v>
      </c>
      <c r="I484" s="179">
        <f>I125*'WK3 - Notional GI Yr1 YIELD'!$D111</f>
        <v>0</v>
      </c>
      <c r="J484" s="179">
        <f>J125*'WK3 - Notional GI Yr1 YIELD'!$D111</f>
        <v>0</v>
      </c>
      <c r="K484" s="179">
        <f>K125*'WK3 - Notional GI Yr1 YIELD'!$D111</f>
        <v>0</v>
      </c>
      <c r="L484" s="179">
        <f>L125*'WK3 - Notional GI Yr1 YIELD'!$D111</f>
        <v>0</v>
      </c>
      <c r="M484" s="179"/>
      <c r="N484" s="179"/>
      <c r="O484" s="179"/>
      <c r="P484" s="179"/>
      <c r="Q484" s="179"/>
      <c r="R484" s="179"/>
      <c r="S484" s="179"/>
      <c r="T484" s="179"/>
      <c r="U484" s="179"/>
      <c r="V484" s="179"/>
      <c r="W484" s="179"/>
      <c r="X484" s="179"/>
      <c r="Y484" s="179"/>
      <c r="Z484" s="179"/>
      <c r="AA484" s="179"/>
      <c r="AB484" s="179"/>
      <c r="AC484" s="179"/>
      <c r="AD484" s="179"/>
      <c r="AE484" s="179"/>
      <c r="AF484" s="179"/>
      <c r="AG484" s="179"/>
      <c r="AH484" s="179"/>
      <c r="AI484" s="179"/>
      <c r="AJ484" s="179"/>
      <c r="AK484" s="179"/>
      <c r="AL484" s="179"/>
      <c r="AM484" s="179"/>
      <c r="AN484" s="179"/>
      <c r="AO484" s="179"/>
    </row>
    <row r="485" spans="3:41" hidden="1" x14ac:dyDescent="0.2">
      <c r="C485" s="179" t="str">
        <f t="shared" si="240"/>
        <v>Special rate</v>
      </c>
      <c r="D485" s="179" t="str">
        <f t="shared" si="241"/>
        <v/>
      </c>
      <c r="E485" s="179"/>
      <c r="F485" s="179"/>
      <c r="G485" s="179">
        <f>G126*'WK3 - Notional GI Yr1 YIELD'!$D112</f>
        <v>0</v>
      </c>
      <c r="H485" s="179">
        <f>H126*'WK3 - Notional GI Yr1 YIELD'!$D112</f>
        <v>0</v>
      </c>
      <c r="I485" s="179">
        <f>I126*'WK3 - Notional GI Yr1 YIELD'!$D112</f>
        <v>0</v>
      </c>
      <c r="J485" s="179">
        <f>J126*'WK3 - Notional GI Yr1 YIELD'!$D112</f>
        <v>0</v>
      </c>
      <c r="K485" s="179">
        <f>K126*'WK3 - Notional GI Yr1 YIELD'!$D112</f>
        <v>0</v>
      </c>
      <c r="L485" s="179">
        <f>L126*'WK3 - Notional GI Yr1 YIELD'!$D112</f>
        <v>0</v>
      </c>
      <c r="M485" s="179"/>
      <c r="N485" s="179"/>
      <c r="O485" s="179"/>
      <c r="P485" s="179"/>
      <c r="Q485" s="179"/>
      <c r="R485" s="179"/>
      <c r="S485" s="179"/>
      <c r="T485" s="179"/>
      <c r="U485" s="179"/>
      <c r="V485" s="179"/>
      <c r="W485" s="179"/>
      <c r="X485" s="179"/>
      <c r="Y485" s="179"/>
      <c r="Z485" s="179"/>
      <c r="AA485" s="179"/>
      <c r="AB485" s="179"/>
      <c r="AC485" s="179"/>
      <c r="AD485" s="179"/>
      <c r="AE485" s="179"/>
      <c r="AF485" s="179"/>
      <c r="AG485" s="179"/>
      <c r="AH485" s="179"/>
      <c r="AI485" s="179"/>
      <c r="AJ485" s="179"/>
      <c r="AK485" s="179"/>
      <c r="AL485" s="179"/>
      <c r="AM485" s="179"/>
      <c r="AN485" s="179"/>
      <c r="AO485" s="179"/>
    </row>
    <row r="486" spans="3:41" hidden="1" x14ac:dyDescent="0.2">
      <c r="C486" s="179" t="str">
        <f t="shared" si="240"/>
        <v>Special rate</v>
      </c>
      <c r="D486" s="179" t="str">
        <f t="shared" si="241"/>
        <v/>
      </c>
      <c r="E486" s="179"/>
      <c r="F486" s="179"/>
      <c r="G486" s="179">
        <f>G127*'WK3 - Notional GI Yr1 YIELD'!$D113</f>
        <v>0</v>
      </c>
      <c r="H486" s="179">
        <f>H127*'WK3 - Notional GI Yr1 YIELD'!$D113</f>
        <v>0</v>
      </c>
      <c r="I486" s="179">
        <f>I127*'WK3 - Notional GI Yr1 YIELD'!$D113</f>
        <v>0</v>
      </c>
      <c r="J486" s="179">
        <f>J127*'WK3 - Notional GI Yr1 YIELD'!$D113</f>
        <v>0</v>
      </c>
      <c r="K486" s="179">
        <f>K127*'WK3 - Notional GI Yr1 YIELD'!$D113</f>
        <v>0</v>
      </c>
      <c r="L486" s="179">
        <f>L127*'WK3 - Notional GI Yr1 YIELD'!$D113</f>
        <v>0</v>
      </c>
      <c r="M486" s="179"/>
      <c r="N486" s="179"/>
      <c r="O486" s="179"/>
      <c r="P486" s="179"/>
      <c r="Q486" s="179"/>
      <c r="R486" s="179"/>
      <c r="S486" s="179"/>
      <c r="T486" s="179"/>
      <c r="U486" s="179"/>
      <c r="V486" s="179"/>
      <c r="W486" s="179"/>
      <c r="X486" s="179"/>
      <c r="Y486" s="179"/>
      <c r="Z486" s="179"/>
      <c r="AA486" s="179"/>
      <c r="AB486" s="179"/>
      <c r="AC486" s="179"/>
      <c r="AD486" s="179"/>
      <c r="AE486" s="179"/>
      <c r="AF486" s="179"/>
      <c r="AG486" s="179"/>
      <c r="AH486" s="179"/>
      <c r="AI486" s="179"/>
      <c r="AJ486" s="179"/>
      <c r="AK486" s="179"/>
      <c r="AL486" s="179"/>
      <c r="AM486" s="179"/>
      <c r="AN486" s="179"/>
      <c r="AO486" s="179"/>
    </row>
    <row r="487" spans="3:41" hidden="1" x14ac:dyDescent="0.2">
      <c r="C487" s="179" t="str">
        <f t="shared" si="240"/>
        <v>Special rate</v>
      </c>
      <c r="D487" s="179" t="str">
        <f t="shared" si="241"/>
        <v/>
      </c>
      <c r="E487" s="179"/>
      <c r="F487" s="179"/>
      <c r="G487" s="179">
        <f>G128*'WK3 - Notional GI Yr1 YIELD'!$D114</f>
        <v>0</v>
      </c>
      <c r="H487" s="179">
        <f>H128*'WK3 - Notional GI Yr1 YIELD'!$D114</f>
        <v>0</v>
      </c>
      <c r="I487" s="179">
        <f>I128*'WK3 - Notional GI Yr1 YIELD'!$D114</f>
        <v>0</v>
      </c>
      <c r="J487" s="179">
        <f>J128*'WK3 - Notional GI Yr1 YIELD'!$D114</f>
        <v>0</v>
      </c>
      <c r="K487" s="179">
        <f>K128*'WK3 - Notional GI Yr1 YIELD'!$D114</f>
        <v>0</v>
      </c>
      <c r="L487" s="179">
        <f>L128*'WK3 - Notional GI Yr1 YIELD'!$D114</f>
        <v>0</v>
      </c>
      <c r="M487" s="179"/>
      <c r="N487" s="179"/>
      <c r="O487" s="179"/>
      <c r="P487" s="179"/>
      <c r="Q487" s="179"/>
      <c r="R487" s="179"/>
      <c r="S487" s="179"/>
      <c r="T487" s="179"/>
      <c r="U487" s="179"/>
      <c r="V487" s="179"/>
      <c r="W487" s="179"/>
      <c r="X487" s="179"/>
      <c r="Y487" s="179"/>
      <c r="Z487" s="179"/>
      <c r="AA487" s="179"/>
      <c r="AB487" s="179"/>
      <c r="AC487" s="179"/>
      <c r="AD487" s="179"/>
      <c r="AE487" s="179"/>
      <c r="AF487" s="179"/>
      <c r="AG487" s="179"/>
      <c r="AH487" s="179"/>
      <c r="AI487" s="179"/>
      <c r="AJ487" s="179"/>
      <c r="AK487" s="179"/>
      <c r="AL487" s="179"/>
      <c r="AM487" s="179"/>
      <c r="AN487" s="179"/>
      <c r="AO487" s="179"/>
    </row>
    <row r="488" spans="3:41" hidden="1" x14ac:dyDescent="0.2">
      <c r="C488" s="179" t="str">
        <f t="shared" si="240"/>
        <v>Special rate</v>
      </c>
      <c r="D488" s="179" t="str">
        <f t="shared" si="241"/>
        <v/>
      </c>
      <c r="E488" s="179"/>
      <c r="F488" s="179"/>
      <c r="G488" s="179">
        <f>G129*'WK3 - Notional GI Yr1 YIELD'!$D115</f>
        <v>0</v>
      </c>
      <c r="H488" s="179">
        <f>H129*'WK3 - Notional GI Yr1 YIELD'!$D115</f>
        <v>0</v>
      </c>
      <c r="I488" s="179">
        <f>I129*'WK3 - Notional GI Yr1 YIELD'!$D115</f>
        <v>0</v>
      </c>
      <c r="J488" s="179">
        <f>J129*'WK3 - Notional GI Yr1 YIELD'!$D115</f>
        <v>0</v>
      </c>
      <c r="K488" s="179">
        <f>K129*'WK3 - Notional GI Yr1 YIELD'!$D115</f>
        <v>0</v>
      </c>
      <c r="L488" s="179">
        <f>L129*'WK3 - Notional GI Yr1 YIELD'!$D115</f>
        <v>0</v>
      </c>
      <c r="M488" s="179"/>
      <c r="N488" s="179"/>
      <c r="O488" s="179"/>
      <c r="P488" s="179"/>
      <c r="Q488" s="179"/>
      <c r="R488" s="179"/>
      <c r="S488" s="179"/>
      <c r="T488" s="179"/>
      <c r="U488" s="179"/>
      <c r="V488" s="179"/>
      <c r="W488" s="179"/>
      <c r="X488" s="179"/>
      <c r="Y488" s="179"/>
      <c r="Z488" s="179"/>
      <c r="AA488" s="179"/>
      <c r="AB488" s="179"/>
      <c r="AC488" s="179"/>
      <c r="AD488" s="179"/>
      <c r="AE488" s="179"/>
      <c r="AF488" s="179"/>
      <c r="AG488" s="179"/>
      <c r="AH488" s="179"/>
      <c r="AI488" s="179"/>
      <c r="AJ488" s="179"/>
      <c r="AK488" s="179"/>
      <c r="AL488" s="179"/>
      <c r="AM488" s="179"/>
      <c r="AN488" s="179"/>
      <c r="AO488" s="179"/>
    </row>
    <row r="489" spans="3:41" hidden="1" x14ac:dyDescent="0.2">
      <c r="C489" s="179" t="str">
        <f t="shared" si="240"/>
        <v>Special rate</v>
      </c>
      <c r="D489" s="179" t="str">
        <f t="shared" si="241"/>
        <v/>
      </c>
      <c r="E489" s="179"/>
      <c r="F489" s="179"/>
      <c r="G489" s="179">
        <f>G130*'WK3 - Notional GI Yr1 YIELD'!$D116</f>
        <v>0</v>
      </c>
      <c r="H489" s="179">
        <f>H130*'WK3 - Notional GI Yr1 YIELD'!$D116</f>
        <v>0</v>
      </c>
      <c r="I489" s="179">
        <f>I130*'WK3 - Notional GI Yr1 YIELD'!$D116</f>
        <v>0</v>
      </c>
      <c r="J489" s="179">
        <f>J130*'WK3 - Notional GI Yr1 YIELD'!$D116</f>
        <v>0</v>
      </c>
      <c r="K489" s="179">
        <f>K130*'WK3 - Notional GI Yr1 YIELD'!$D116</f>
        <v>0</v>
      </c>
      <c r="L489" s="179">
        <f>L130*'WK3 - Notional GI Yr1 YIELD'!$D116</f>
        <v>0</v>
      </c>
      <c r="M489" s="179"/>
      <c r="N489" s="179"/>
      <c r="O489" s="179"/>
      <c r="P489" s="179"/>
      <c r="Q489" s="179"/>
      <c r="R489" s="179"/>
      <c r="S489" s="179"/>
      <c r="T489" s="179"/>
      <c r="U489" s="179"/>
      <c r="V489" s="179"/>
      <c r="W489" s="179"/>
      <c r="X489" s="179"/>
      <c r="Y489" s="179"/>
      <c r="Z489" s="179"/>
      <c r="AA489" s="179"/>
      <c r="AB489" s="179"/>
      <c r="AC489" s="179"/>
      <c r="AD489" s="179"/>
      <c r="AE489" s="179"/>
      <c r="AF489" s="179"/>
      <c r="AG489" s="179"/>
      <c r="AH489" s="179"/>
      <c r="AI489" s="179"/>
      <c r="AJ489" s="179"/>
      <c r="AK489" s="179"/>
      <c r="AL489" s="179"/>
      <c r="AM489" s="179"/>
      <c r="AN489" s="179"/>
      <c r="AO489" s="179"/>
    </row>
    <row r="490" spans="3:41" hidden="1" x14ac:dyDescent="0.2">
      <c r="C490" s="179" t="str">
        <f t="shared" ref="C490:D494" si="242">C131</f>
        <v>Special rate</v>
      </c>
      <c r="D490" s="179" t="str">
        <f t="shared" si="242"/>
        <v/>
      </c>
      <c r="E490" s="179"/>
      <c r="F490" s="179"/>
      <c r="G490" s="179">
        <f>G131*'WK3 - Notional GI Yr1 YIELD'!$D117</f>
        <v>0</v>
      </c>
      <c r="H490" s="179">
        <f>H131*'WK3 - Notional GI Yr1 YIELD'!$D117</f>
        <v>0</v>
      </c>
      <c r="I490" s="179">
        <f>I131*'WK3 - Notional GI Yr1 YIELD'!$D117</f>
        <v>0</v>
      </c>
      <c r="J490" s="179">
        <f>J131*'WK3 - Notional GI Yr1 YIELD'!$D117</f>
        <v>0</v>
      </c>
      <c r="K490" s="179">
        <f>K131*'WK3 - Notional GI Yr1 YIELD'!$D117</f>
        <v>0</v>
      </c>
      <c r="L490" s="179">
        <f>L131*'WK3 - Notional GI Yr1 YIELD'!$D117</f>
        <v>0</v>
      </c>
      <c r="M490" s="179"/>
      <c r="N490" s="179"/>
      <c r="O490" s="179"/>
      <c r="P490" s="179"/>
      <c r="Q490" s="179"/>
      <c r="R490" s="179"/>
      <c r="S490" s="179"/>
      <c r="T490" s="179"/>
      <c r="U490" s="179"/>
      <c r="V490" s="179"/>
      <c r="W490" s="179"/>
      <c r="X490" s="179"/>
      <c r="Y490" s="179"/>
      <c r="Z490" s="179"/>
      <c r="AA490" s="179"/>
      <c r="AB490" s="179"/>
      <c r="AC490" s="179"/>
      <c r="AD490" s="179"/>
      <c r="AE490" s="179"/>
      <c r="AF490" s="179"/>
      <c r="AG490" s="179"/>
      <c r="AH490" s="179"/>
      <c r="AI490" s="179"/>
      <c r="AJ490" s="179"/>
      <c r="AK490" s="179"/>
      <c r="AL490" s="179"/>
      <c r="AM490" s="179"/>
      <c r="AN490" s="179"/>
      <c r="AO490" s="179"/>
    </row>
    <row r="491" spans="3:41" hidden="1" x14ac:dyDescent="0.2">
      <c r="C491" s="179" t="str">
        <f t="shared" si="242"/>
        <v>Special rate</v>
      </c>
      <c r="D491" s="179" t="str">
        <f t="shared" si="242"/>
        <v/>
      </c>
      <c r="E491" s="179"/>
      <c r="F491" s="179"/>
      <c r="G491" s="179">
        <f>G132*'WK3 - Notional GI Yr1 YIELD'!$D118</f>
        <v>0</v>
      </c>
      <c r="H491" s="179">
        <f>H132*'WK3 - Notional GI Yr1 YIELD'!$D118</f>
        <v>0</v>
      </c>
      <c r="I491" s="179">
        <f>I132*'WK3 - Notional GI Yr1 YIELD'!$D118</f>
        <v>0</v>
      </c>
      <c r="J491" s="179">
        <f>J132*'WK3 - Notional GI Yr1 YIELD'!$D118</f>
        <v>0</v>
      </c>
      <c r="K491" s="179">
        <f>K132*'WK3 - Notional GI Yr1 YIELD'!$D118</f>
        <v>0</v>
      </c>
      <c r="L491" s="179">
        <f>L132*'WK3 - Notional GI Yr1 YIELD'!$D118</f>
        <v>0</v>
      </c>
      <c r="M491" s="179"/>
      <c r="N491" s="179"/>
      <c r="O491" s="179"/>
      <c r="P491" s="179"/>
      <c r="Q491" s="179"/>
      <c r="R491" s="179"/>
      <c r="S491" s="179"/>
      <c r="T491" s="179"/>
      <c r="U491" s="179"/>
      <c r="V491" s="179"/>
      <c r="W491" s="179"/>
      <c r="X491" s="179"/>
      <c r="Y491" s="179"/>
      <c r="Z491" s="179"/>
      <c r="AA491" s="179"/>
      <c r="AB491" s="179"/>
      <c r="AC491" s="179"/>
      <c r="AD491" s="179"/>
      <c r="AE491" s="179"/>
      <c r="AF491" s="179"/>
      <c r="AG491" s="179"/>
      <c r="AH491" s="179"/>
      <c r="AI491" s="179"/>
      <c r="AJ491" s="179"/>
      <c r="AK491" s="179"/>
      <c r="AL491" s="179"/>
      <c r="AM491" s="179"/>
      <c r="AN491" s="179"/>
      <c r="AO491" s="179"/>
    </row>
    <row r="492" spans="3:41" hidden="1" x14ac:dyDescent="0.2">
      <c r="C492" s="179" t="str">
        <f t="shared" si="242"/>
        <v>Special rate</v>
      </c>
      <c r="D492" s="179" t="str">
        <f t="shared" si="242"/>
        <v/>
      </c>
      <c r="E492" s="179"/>
      <c r="F492" s="179"/>
      <c r="G492" s="179">
        <f>G133*'WK3 - Notional GI Yr1 YIELD'!$D119</f>
        <v>0</v>
      </c>
      <c r="H492" s="179">
        <f>H133*'WK3 - Notional GI Yr1 YIELD'!$D119</f>
        <v>0</v>
      </c>
      <c r="I492" s="179">
        <f>I133*'WK3 - Notional GI Yr1 YIELD'!$D119</f>
        <v>0</v>
      </c>
      <c r="J492" s="179">
        <f>J133*'WK3 - Notional GI Yr1 YIELD'!$D119</f>
        <v>0</v>
      </c>
      <c r="K492" s="179">
        <f>K133*'WK3 - Notional GI Yr1 YIELD'!$D119</f>
        <v>0</v>
      </c>
      <c r="L492" s="179">
        <f>L133*'WK3 - Notional GI Yr1 YIELD'!$D119</f>
        <v>0</v>
      </c>
      <c r="M492" s="179"/>
      <c r="N492" s="179"/>
      <c r="O492" s="179"/>
      <c r="P492" s="179"/>
      <c r="Q492" s="179"/>
      <c r="R492" s="179"/>
      <c r="S492" s="179"/>
      <c r="T492" s="179"/>
      <c r="U492" s="179"/>
      <c r="V492" s="179"/>
      <c r="W492" s="179"/>
      <c r="X492" s="179"/>
      <c r="Y492" s="179"/>
      <c r="Z492" s="179"/>
      <c r="AA492" s="179"/>
      <c r="AB492" s="179"/>
      <c r="AC492" s="179"/>
      <c r="AD492" s="179"/>
      <c r="AE492" s="179"/>
      <c r="AF492" s="179"/>
      <c r="AG492" s="179"/>
      <c r="AH492" s="179"/>
      <c r="AI492" s="179"/>
      <c r="AJ492" s="179"/>
      <c r="AK492" s="179"/>
      <c r="AL492" s="179"/>
      <c r="AM492" s="179"/>
      <c r="AN492" s="179"/>
      <c r="AO492" s="179"/>
    </row>
    <row r="493" spans="3:41" hidden="1" x14ac:dyDescent="0.2">
      <c r="C493" s="179" t="str">
        <f t="shared" si="242"/>
        <v>Special rate</v>
      </c>
      <c r="D493" s="179" t="str">
        <f t="shared" si="242"/>
        <v/>
      </c>
      <c r="E493" s="179"/>
      <c r="F493" s="179"/>
      <c r="G493" s="179">
        <f>G134*'WK3 - Notional GI Yr1 YIELD'!$D120</f>
        <v>0</v>
      </c>
      <c r="H493" s="179">
        <f>H134*'WK3 - Notional GI Yr1 YIELD'!$D120</f>
        <v>0</v>
      </c>
      <c r="I493" s="179">
        <f>I134*'WK3 - Notional GI Yr1 YIELD'!$D120</f>
        <v>0</v>
      </c>
      <c r="J493" s="179">
        <f>J134*'WK3 - Notional GI Yr1 YIELD'!$D120</f>
        <v>0</v>
      </c>
      <c r="K493" s="179">
        <f>K134*'WK3 - Notional GI Yr1 YIELD'!$D120</f>
        <v>0</v>
      </c>
      <c r="L493" s="179">
        <f>L134*'WK3 - Notional GI Yr1 YIELD'!$D120</f>
        <v>0</v>
      </c>
      <c r="M493" s="179"/>
      <c r="N493" s="179"/>
      <c r="O493" s="179"/>
      <c r="P493" s="179"/>
      <c r="Q493" s="179"/>
      <c r="R493" s="179"/>
      <c r="S493" s="179"/>
      <c r="T493" s="179"/>
      <c r="U493" s="179"/>
      <c r="V493" s="179"/>
      <c r="W493" s="179"/>
      <c r="X493" s="179"/>
      <c r="Y493" s="179"/>
      <c r="Z493" s="179"/>
      <c r="AA493" s="179"/>
      <c r="AB493" s="179"/>
      <c r="AC493" s="179"/>
      <c r="AD493" s="179"/>
      <c r="AE493" s="179"/>
      <c r="AF493" s="179"/>
      <c r="AG493" s="179"/>
      <c r="AH493" s="179"/>
      <c r="AI493" s="179"/>
      <c r="AJ493" s="179"/>
      <c r="AK493" s="179"/>
      <c r="AL493" s="179"/>
      <c r="AM493" s="179"/>
      <c r="AN493" s="179"/>
      <c r="AO493" s="179"/>
    </row>
    <row r="494" spans="3:41" hidden="1" x14ac:dyDescent="0.2">
      <c r="C494" s="179" t="str">
        <f t="shared" si="242"/>
        <v>Special rate</v>
      </c>
      <c r="D494" s="179" t="str">
        <f t="shared" si="242"/>
        <v/>
      </c>
      <c r="E494" s="179"/>
      <c r="F494" s="179"/>
      <c r="G494" s="179">
        <f>G135*'WK3 - Notional GI Yr1 YIELD'!$D121</f>
        <v>0</v>
      </c>
      <c r="H494" s="179">
        <f>H135*'WK3 - Notional GI Yr1 YIELD'!$D121</f>
        <v>0</v>
      </c>
      <c r="I494" s="179">
        <f>I135*'WK3 - Notional GI Yr1 YIELD'!$D121</f>
        <v>0</v>
      </c>
      <c r="J494" s="179">
        <f>J135*'WK3 - Notional GI Yr1 YIELD'!$D121</f>
        <v>0</v>
      </c>
      <c r="K494" s="179">
        <f>K135*'WK3 - Notional GI Yr1 YIELD'!$D121</f>
        <v>0</v>
      </c>
      <c r="L494" s="179">
        <f>L135*'WK3 - Notional GI Yr1 YIELD'!$D121</f>
        <v>0</v>
      </c>
      <c r="M494" s="179"/>
      <c r="N494" s="179"/>
      <c r="O494" s="179"/>
      <c r="P494" s="179"/>
      <c r="Q494" s="179"/>
      <c r="R494" s="179"/>
      <c r="S494" s="179"/>
      <c r="T494" s="179"/>
      <c r="U494" s="179"/>
      <c r="V494" s="179"/>
      <c r="W494" s="179"/>
      <c r="X494" s="179"/>
      <c r="Y494" s="179"/>
      <c r="Z494" s="179"/>
      <c r="AA494" s="179"/>
      <c r="AB494" s="179"/>
      <c r="AC494" s="179"/>
      <c r="AD494" s="179"/>
      <c r="AE494" s="179"/>
      <c r="AF494" s="179"/>
      <c r="AG494" s="179"/>
      <c r="AH494" s="179"/>
      <c r="AI494" s="179"/>
      <c r="AJ494" s="179"/>
      <c r="AK494" s="179"/>
      <c r="AL494" s="179"/>
      <c r="AM494" s="179"/>
      <c r="AN494" s="179"/>
      <c r="AO494" s="179"/>
    </row>
    <row r="495" spans="3:41" s="162" customFormat="1" ht="12" hidden="1" x14ac:dyDescent="0.25">
      <c r="C495" s="656"/>
      <c r="D495" s="656" t="s">
        <v>472</v>
      </c>
      <c r="E495" s="656"/>
      <c r="F495" s="656"/>
      <c r="G495" s="656">
        <f t="shared" ref="G495:L495" si="243">SUM(G450:G494)</f>
        <v>6262985.1741857501</v>
      </c>
      <c r="H495" s="656">
        <f t="shared" si="243"/>
        <v>6419559.8035403918</v>
      </c>
      <c r="I495" s="656">
        <f t="shared" si="243"/>
        <v>6580048.7986289011</v>
      </c>
      <c r="J495" s="656">
        <f t="shared" si="243"/>
        <v>6744550.0185946245</v>
      </c>
      <c r="K495" s="656">
        <f t="shared" si="243"/>
        <v>0</v>
      </c>
      <c r="L495" s="656">
        <f t="shared" si="243"/>
        <v>0</v>
      </c>
      <c r="M495" s="656"/>
      <c r="N495" s="656"/>
      <c r="O495" s="656"/>
      <c r="P495" s="656"/>
      <c r="Q495" s="656"/>
      <c r="R495" s="656"/>
      <c r="S495" s="656"/>
      <c r="T495" s="656"/>
      <c r="U495" s="656"/>
      <c r="V495" s="656"/>
      <c r="W495" s="656"/>
      <c r="X495" s="656"/>
      <c r="Y495" s="656"/>
      <c r="Z495" s="656"/>
      <c r="AA495" s="656"/>
      <c r="AB495" s="656"/>
      <c r="AC495" s="656"/>
      <c r="AD495" s="656"/>
      <c r="AE495" s="656"/>
      <c r="AF495" s="656"/>
      <c r="AG495" s="656"/>
      <c r="AH495" s="656"/>
      <c r="AI495" s="656"/>
      <c r="AJ495" s="656"/>
      <c r="AK495" s="656"/>
      <c r="AL495" s="656"/>
      <c r="AM495" s="656"/>
      <c r="AN495" s="656"/>
      <c r="AO495" s="656"/>
    </row>
    <row r="496" spans="3:41" hidden="1" x14ac:dyDescent="0.2">
      <c r="C496" s="179" t="str">
        <f>C137</f>
        <v>Farmland</v>
      </c>
      <c r="D496" s="179" t="str">
        <f>D137</f>
        <v/>
      </c>
      <c r="E496" s="179"/>
      <c r="F496" s="179"/>
      <c r="G496" s="179">
        <f>G137*'WK3 - Notional GI Yr1 YIELD'!$D61</f>
        <v>4676107.1585099986</v>
      </c>
      <c r="H496" s="179">
        <f>H137*'WK3 - Notional GI Yr1 YIELD'!$D61</f>
        <v>4793009.8374727489</v>
      </c>
      <c r="I496" s="179">
        <f>I137*'WK3 - Notional GI Yr1 YIELD'!$D61</f>
        <v>4912835.0834095664</v>
      </c>
      <c r="J496" s="179">
        <f>J137*'WK3 - Notional GI Yr1 YIELD'!$D61</f>
        <v>5035655.9604948051</v>
      </c>
      <c r="K496" s="179">
        <f>K137*'WK3 - Notional GI Yr1 YIELD'!$D61</f>
        <v>0</v>
      </c>
      <c r="L496" s="179">
        <f>L137*'WK3 - Notional GI Yr1 YIELD'!$D61</f>
        <v>0</v>
      </c>
      <c r="M496" s="179">
        <f>M137*'WK3 - Notional GI Yr1 YIELD'!$D$61</f>
        <v>0</v>
      </c>
      <c r="N496" s="179"/>
      <c r="O496" s="179"/>
      <c r="P496" s="179"/>
      <c r="Q496" s="179"/>
      <c r="R496" s="179"/>
      <c r="S496" s="179"/>
      <c r="T496" s="179"/>
      <c r="U496" s="179"/>
      <c r="V496" s="179"/>
      <c r="W496" s="179"/>
      <c r="X496" s="179"/>
      <c r="Y496" s="179"/>
      <c r="Z496" s="179"/>
      <c r="AA496" s="179"/>
      <c r="AB496" s="179"/>
      <c r="AC496" s="179"/>
      <c r="AD496" s="179"/>
      <c r="AE496" s="179"/>
      <c r="AF496" s="179"/>
      <c r="AG496" s="179"/>
      <c r="AH496" s="179"/>
      <c r="AI496" s="179"/>
      <c r="AJ496" s="179"/>
      <c r="AK496" s="179"/>
      <c r="AL496" s="179"/>
      <c r="AM496" s="179"/>
      <c r="AN496" s="179"/>
      <c r="AO496" s="179"/>
    </row>
    <row r="497" spans="3:41" hidden="1" x14ac:dyDescent="0.2">
      <c r="C497" s="179" t="str">
        <f t="shared" ref="C497:D505" si="244">C138</f>
        <v>Farmland</v>
      </c>
      <c r="D497" s="179" t="str">
        <f t="shared" si="244"/>
        <v/>
      </c>
      <c r="E497" s="179"/>
      <c r="F497" s="179"/>
      <c r="G497" s="179">
        <f>G138*'WK3 - Notional GI Yr1 YIELD'!$D62</f>
        <v>0</v>
      </c>
      <c r="H497" s="179">
        <f>H138*'WK3 - Notional GI Yr1 YIELD'!$D62</f>
        <v>0</v>
      </c>
      <c r="I497" s="179">
        <f>I138*'WK3 - Notional GI Yr1 YIELD'!$D62</f>
        <v>0</v>
      </c>
      <c r="J497" s="179">
        <f>J138*'WK3 - Notional GI Yr1 YIELD'!$D62</f>
        <v>0</v>
      </c>
      <c r="K497" s="179">
        <f>K138*'WK3 - Notional GI Yr1 YIELD'!$D62</f>
        <v>0</v>
      </c>
      <c r="L497" s="179">
        <f>L138*'WK3 - Notional GI Yr1 YIELD'!$D62</f>
        <v>0</v>
      </c>
      <c r="M497" s="179"/>
      <c r="N497" s="179"/>
      <c r="O497" s="179"/>
      <c r="P497" s="179"/>
      <c r="Q497" s="179"/>
      <c r="R497" s="179"/>
      <c r="S497" s="179"/>
      <c r="T497" s="179"/>
      <c r="U497" s="179"/>
      <c r="V497" s="179"/>
      <c r="W497" s="179"/>
      <c r="X497" s="179"/>
      <c r="Y497" s="179"/>
      <c r="Z497" s="179"/>
      <c r="AA497" s="179"/>
      <c r="AB497" s="179"/>
      <c r="AC497" s="179"/>
      <c r="AD497" s="179"/>
      <c r="AE497" s="179"/>
      <c r="AF497" s="179"/>
      <c r="AG497" s="179"/>
      <c r="AH497" s="179"/>
      <c r="AI497" s="179"/>
      <c r="AJ497" s="179"/>
      <c r="AK497" s="179"/>
      <c r="AL497" s="179"/>
      <c r="AM497" s="179"/>
      <c r="AN497" s="179"/>
      <c r="AO497" s="179"/>
    </row>
    <row r="498" spans="3:41" hidden="1" x14ac:dyDescent="0.2">
      <c r="C498" s="179" t="str">
        <f t="shared" si="244"/>
        <v>Farmland</v>
      </c>
      <c r="D498" s="179" t="str">
        <f t="shared" si="244"/>
        <v/>
      </c>
      <c r="E498" s="179"/>
      <c r="F498" s="179"/>
      <c r="G498" s="179">
        <f>G139*'WK3 - Notional GI Yr1 YIELD'!$D63</f>
        <v>0</v>
      </c>
      <c r="H498" s="179">
        <f>H139*'WK3 - Notional GI Yr1 YIELD'!$D63</f>
        <v>0</v>
      </c>
      <c r="I498" s="179">
        <f>I139*'WK3 - Notional GI Yr1 YIELD'!$D63</f>
        <v>0</v>
      </c>
      <c r="J498" s="179">
        <f>J139*'WK3 - Notional GI Yr1 YIELD'!$D63</f>
        <v>0</v>
      </c>
      <c r="K498" s="179">
        <f>K139*'WK3 - Notional GI Yr1 YIELD'!$D63</f>
        <v>0</v>
      </c>
      <c r="L498" s="179">
        <f>L139*'WK3 - Notional GI Yr1 YIELD'!$D63</f>
        <v>0</v>
      </c>
      <c r="M498" s="179"/>
      <c r="N498" s="179"/>
      <c r="O498" s="179"/>
      <c r="P498" s="179"/>
      <c r="Q498" s="179"/>
      <c r="R498" s="179"/>
      <c r="S498" s="179"/>
      <c r="T498" s="179"/>
      <c r="U498" s="179"/>
      <c r="V498" s="179"/>
      <c r="W498" s="179"/>
      <c r="X498" s="179"/>
      <c r="Y498" s="179"/>
      <c r="Z498" s="179"/>
      <c r="AA498" s="179"/>
      <c r="AB498" s="179"/>
      <c r="AC498" s="179"/>
      <c r="AD498" s="179"/>
      <c r="AE498" s="179"/>
      <c r="AF498" s="179"/>
      <c r="AG498" s="179"/>
      <c r="AH498" s="179"/>
      <c r="AI498" s="179"/>
      <c r="AJ498" s="179"/>
      <c r="AK498" s="179"/>
      <c r="AL498" s="179"/>
      <c r="AM498" s="179"/>
      <c r="AN498" s="179"/>
      <c r="AO498" s="179"/>
    </row>
    <row r="499" spans="3:41" hidden="1" x14ac:dyDescent="0.2">
      <c r="C499" s="179" t="str">
        <f t="shared" si="244"/>
        <v>Farmland</v>
      </c>
      <c r="D499" s="179" t="str">
        <f t="shared" si="244"/>
        <v/>
      </c>
      <c r="E499" s="179"/>
      <c r="F499" s="179"/>
      <c r="G499" s="179">
        <f>G140*'WK3 - Notional GI Yr1 YIELD'!$D64</f>
        <v>0</v>
      </c>
      <c r="H499" s="179">
        <f>H140*'WK3 - Notional GI Yr1 YIELD'!$D64</f>
        <v>0</v>
      </c>
      <c r="I499" s="179">
        <f>I140*'WK3 - Notional GI Yr1 YIELD'!$D64</f>
        <v>0</v>
      </c>
      <c r="J499" s="179">
        <f>J140*'WK3 - Notional GI Yr1 YIELD'!$D64</f>
        <v>0</v>
      </c>
      <c r="K499" s="179">
        <f>K140*'WK3 - Notional GI Yr1 YIELD'!$D64</f>
        <v>0</v>
      </c>
      <c r="L499" s="179">
        <f>L140*'WK3 - Notional GI Yr1 YIELD'!$D64</f>
        <v>0</v>
      </c>
      <c r="M499" s="179"/>
      <c r="N499" s="179"/>
      <c r="O499" s="179"/>
      <c r="P499" s="179"/>
      <c r="Q499" s="179"/>
      <c r="R499" s="179"/>
      <c r="S499" s="179"/>
      <c r="T499" s="179"/>
      <c r="U499" s="179"/>
      <c r="V499" s="179"/>
      <c r="W499" s="179"/>
      <c r="X499" s="179"/>
      <c r="Y499" s="179"/>
      <c r="Z499" s="179"/>
      <c r="AA499" s="179"/>
      <c r="AB499" s="179"/>
      <c r="AC499" s="179"/>
      <c r="AD499" s="179"/>
      <c r="AE499" s="179"/>
      <c r="AF499" s="179"/>
      <c r="AG499" s="179"/>
      <c r="AH499" s="179"/>
      <c r="AI499" s="179"/>
      <c r="AJ499" s="179"/>
      <c r="AK499" s="179"/>
      <c r="AL499" s="179"/>
      <c r="AM499" s="179"/>
      <c r="AN499" s="179"/>
      <c r="AO499" s="179"/>
    </row>
    <row r="500" spans="3:41" hidden="1" x14ac:dyDescent="0.2">
      <c r="C500" s="179" t="str">
        <f t="shared" si="244"/>
        <v>Farmland</v>
      </c>
      <c r="D500" s="179" t="str">
        <f t="shared" si="244"/>
        <v/>
      </c>
      <c r="E500" s="179"/>
      <c r="F500" s="179"/>
      <c r="G500" s="179">
        <f>G141*'WK3 - Notional GI Yr1 YIELD'!$D65</f>
        <v>0</v>
      </c>
      <c r="H500" s="179">
        <f>H141*'WK3 - Notional GI Yr1 YIELD'!$D65</f>
        <v>0</v>
      </c>
      <c r="I500" s="179">
        <f>I141*'WK3 - Notional GI Yr1 YIELD'!$D65</f>
        <v>0</v>
      </c>
      <c r="J500" s="179">
        <f>J141*'WK3 - Notional GI Yr1 YIELD'!$D65</f>
        <v>0</v>
      </c>
      <c r="K500" s="179">
        <f>K141*'WK3 - Notional GI Yr1 YIELD'!$D65</f>
        <v>0</v>
      </c>
      <c r="L500" s="179">
        <f>L141*'WK3 - Notional GI Yr1 YIELD'!$D65</f>
        <v>0</v>
      </c>
      <c r="M500" s="179"/>
      <c r="N500" s="179"/>
      <c r="O500" s="179"/>
      <c r="P500" s="179"/>
      <c r="Q500" s="179"/>
      <c r="R500" s="179"/>
      <c r="S500" s="179"/>
      <c r="T500" s="179"/>
      <c r="U500" s="179"/>
      <c r="V500" s="179"/>
      <c r="W500" s="179"/>
      <c r="X500" s="179"/>
      <c r="Y500" s="179"/>
      <c r="Z500" s="179"/>
      <c r="AA500" s="179"/>
      <c r="AB500" s="179"/>
      <c r="AC500" s="179"/>
      <c r="AD500" s="179"/>
      <c r="AE500" s="179"/>
      <c r="AF500" s="179"/>
      <c r="AG500" s="179"/>
      <c r="AH500" s="179"/>
      <c r="AI500" s="179"/>
      <c r="AJ500" s="179"/>
      <c r="AK500" s="179"/>
      <c r="AL500" s="179"/>
      <c r="AM500" s="179"/>
      <c r="AN500" s="179"/>
      <c r="AO500" s="179"/>
    </row>
    <row r="501" spans="3:41" hidden="1" x14ac:dyDescent="0.2">
      <c r="C501" s="179" t="str">
        <f t="shared" si="244"/>
        <v>Farmland</v>
      </c>
      <c r="D501" s="179" t="str">
        <f t="shared" si="244"/>
        <v/>
      </c>
      <c r="E501" s="179"/>
      <c r="F501" s="179"/>
      <c r="G501" s="179">
        <f>G142*'WK3 - Notional GI Yr1 YIELD'!$D66</f>
        <v>0</v>
      </c>
      <c r="H501" s="179">
        <f>H142*'WK3 - Notional GI Yr1 YIELD'!$D66</f>
        <v>0</v>
      </c>
      <c r="I501" s="179">
        <f>I142*'WK3 - Notional GI Yr1 YIELD'!$D66</f>
        <v>0</v>
      </c>
      <c r="J501" s="179">
        <f>J142*'WK3 - Notional GI Yr1 YIELD'!$D66</f>
        <v>0</v>
      </c>
      <c r="K501" s="179">
        <f>K142*'WK3 - Notional GI Yr1 YIELD'!$D66</f>
        <v>0</v>
      </c>
      <c r="L501" s="179">
        <f>L142*'WK3 - Notional GI Yr1 YIELD'!$D66</f>
        <v>0</v>
      </c>
      <c r="M501" s="179"/>
      <c r="N501" s="179"/>
      <c r="O501" s="179"/>
      <c r="P501" s="179"/>
      <c r="Q501" s="179"/>
      <c r="R501" s="179"/>
      <c r="S501" s="179"/>
      <c r="T501" s="179"/>
      <c r="U501" s="179"/>
      <c r="V501" s="179"/>
      <c r="W501" s="179"/>
      <c r="X501" s="179"/>
      <c r="Y501" s="179"/>
      <c r="Z501" s="179"/>
      <c r="AA501" s="179"/>
      <c r="AB501" s="179"/>
      <c r="AC501" s="179"/>
      <c r="AD501" s="179"/>
      <c r="AE501" s="179"/>
      <c r="AF501" s="179"/>
      <c r="AG501" s="179"/>
      <c r="AH501" s="179"/>
      <c r="AI501" s="179"/>
      <c r="AJ501" s="179"/>
      <c r="AK501" s="179"/>
      <c r="AL501" s="179"/>
      <c r="AM501" s="179"/>
      <c r="AN501" s="179"/>
      <c r="AO501" s="179"/>
    </row>
    <row r="502" spans="3:41" hidden="1" x14ac:dyDescent="0.2">
      <c r="C502" s="179" t="str">
        <f t="shared" si="244"/>
        <v>Farmland</v>
      </c>
      <c r="D502" s="179" t="str">
        <f t="shared" si="244"/>
        <v/>
      </c>
      <c r="E502" s="179"/>
      <c r="F502" s="179"/>
      <c r="G502" s="179">
        <f>G143*'WK3 - Notional GI Yr1 YIELD'!$D67</f>
        <v>0</v>
      </c>
      <c r="H502" s="179">
        <f>H143*'WK3 - Notional GI Yr1 YIELD'!$D67</f>
        <v>0</v>
      </c>
      <c r="I502" s="179">
        <f>I143*'WK3 - Notional GI Yr1 YIELD'!$D67</f>
        <v>0</v>
      </c>
      <c r="J502" s="179">
        <f>J143*'WK3 - Notional GI Yr1 YIELD'!$D67</f>
        <v>0</v>
      </c>
      <c r="K502" s="179">
        <f>K143*'WK3 - Notional GI Yr1 YIELD'!$D67</f>
        <v>0</v>
      </c>
      <c r="L502" s="179">
        <f>L143*'WK3 - Notional GI Yr1 YIELD'!$D67</f>
        <v>0</v>
      </c>
      <c r="M502" s="179"/>
      <c r="N502" s="179"/>
      <c r="O502" s="179"/>
      <c r="P502" s="179"/>
      <c r="Q502" s="179"/>
      <c r="R502" s="179"/>
      <c r="S502" s="179"/>
      <c r="T502" s="179"/>
      <c r="U502" s="179"/>
      <c r="V502" s="179"/>
      <c r="W502" s="179"/>
      <c r="X502" s="179"/>
      <c r="Y502" s="179"/>
      <c r="Z502" s="179"/>
      <c r="AA502" s="179"/>
      <c r="AB502" s="179"/>
      <c r="AC502" s="179"/>
      <c r="AD502" s="179"/>
      <c r="AE502" s="179"/>
      <c r="AF502" s="179"/>
      <c r="AG502" s="179"/>
      <c r="AH502" s="179"/>
      <c r="AI502" s="179"/>
      <c r="AJ502" s="179"/>
      <c r="AK502" s="179"/>
      <c r="AL502" s="179"/>
      <c r="AM502" s="179"/>
      <c r="AN502" s="179"/>
      <c r="AO502" s="179"/>
    </row>
    <row r="503" spans="3:41" hidden="1" x14ac:dyDescent="0.2">
      <c r="C503" s="179" t="str">
        <f t="shared" si="244"/>
        <v>Farmland</v>
      </c>
      <c r="D503" s="179" t="str">
        <f t="shared" si="244"/>
        <v/>
      </c>
      <c r="E503" s="179"/>
      <c r="F503" s="179"/>
      <c r="G503" s="179">
        <f>G144*'WK3 - Notional GI Yr1 YIELD'!$D68</f>
        <v>0</v>
      </c>
      <c r="H503" s="179">
        <f>H144*'WK3 - Notional GI Yr1 YIELD'!$D68</f>
        <v>0</v>
      </c>
      <c r="I503" s="179">
        <f>I144*'WK3 - Notional GI Yr1 YIELD'!$D68</f>
        <v>0</v>
      </c>
      <c r="J503" s="179">
        <f>J144*'WK3 - Notional GI Yr1 YIELD'!$D68</f>
        <v>0</v>
      </c>
      <c r="K503" s="179">
        <f>K144*'WK3 - Notional GI Yr1 YIELD'!$D68</f>
        <v>0</v>
      </c>
      <c r="L503" s="179">
        <f>L144*'WK3 - Notional GI Yr1 YIELD'!$D68</f>
        <v>0</v>
      </c>
      <c r="M503" s="179"/>
      <c r="N503" s="179"/>
      <c r="O503" s="179"/>
      <c r="P503" s="179"/>
      <c r="Q503" s="179"/>
      <c r="R503" s="179"/>
      <c r="S503" s="179"/>
      <c r="T503" s="179"/>
      <c r="U503" s="179"/>
      <c r="V503" s="179"/>
      <c r="W503" s="179"/>
      <c r="X503" s="179"/>
      <c r="Y503" s="179"/>
      <c r="Z503" s="179"/>
      <c r="AA503" s="179"/>
      <c r="AB503" s="179"/>
      <c r="AC503" s="179"/>
      <c r="AD503" s="179"/>
      <c r="AE503" s="179"/>
      <c r="AF503" s="179"/>
      <c r="AG503" s="179"/>
      <c r="AH503" s="179"/>
      <c r="AI503" s="179"/>
      <c r="AJ503" s="179"/>
      <c r="AK503" s="179"/>
      <c r="AL503" s="179"/>
      <c r="AM503" s="179"/>
      <c r="AN503" s="179"/>
      <c r="AO503" s="179"/>
    </row>
    <row r="504" spans="3:41" hidden="1" x14ac:dyDescent="0.2">
      <c r="C504" s="179" t="str">
        <f t="shared" si="244"/>
        <v>Farmland</v>
      </c>
      <c r="D504" s="179" t="str">
        <f t="shared" si="244"/>
        <v/>
      </c>
      <c r="E504" s="179"/>
      <c r="F504" s="179"/>
      <c r="G504" s="179">
        <f>G145*'WK3 - Notional GI Yr1 YIELD'!$D69</f>
        <v>0</v>
      </c>
      <c r="H504" s="179">
        <f>H145*'WK3 - Notional GI Yr1 YIELD'!$D69</f>
        <v>0</v>
      </c>
      <c r="I504" s="179">
        <f>I145*'WK3 - Notional GI Yr1 YIELD'!$D69</f>
        <v>0</v>
      </c>
      <c r="J504" s="179">
        <f>J145*'WK3 - Notional GI Yr1 YIELD'!$D69</f>
        <v>0</v>
      </c>
      <c r="K504" s="179">
        <f>K145*'WK3 - Notional GI Yr1 YIELD'!$D69</f>
        <v>0</v>
      </c>
      <c r="L504" s="179">
        <f>L145*'WK3 - Notional GI Yr1 YIELD'!$D69</f>
        <v>0</v>
      </c>
      <c r="M504" s="179"/>
      <c r="N504" s="179"/>
      <c r="O504" s="179"/>
      <c r="P504" s="179"/>
      <c r="Q504" s="179"/>
      <c r="R504" s="179"/>
      <c r="S504" s="179"/>
      <c r="T504" s="179"/>
      <c r="U504" s="179"/>
      <c r="V504" s="179"/>
      <c r="W504" s="179"/>
      <c r="X504" s="179"/>
      <c r="Y504" s="179"/>
      <c r="Z504" s="179"/>
      <c r="AA504" s="179"/>
      <c r="AB504" s="179"/>
      <c r="AC504" s="179"/>
      <c r="AD504" s="179"/>
      <c r="AE504" s="179"/>
      <c r="AF504" s="179"/>
      <c r="AG504" s="179"/>
      <c r="AH504" s="179"/>
      <c r="AI504" s="179"/>
      <c r="AJ504" s="179"/>
      <c r="AK504" s="179"/>
      <c r="AL504" s="179"/>
      <c r="AM504" s="179"/>
      <c r="AN504" s="179"/>
      <c r="AO504" s="179"/>
    </row>
    <row r="505" spans="3:41" hidden="1" x14ac:dyDescent="0.2">
      <c r="C505" s="179" t="str">
        <f t="shared" si="244"/>
        <v>Farmland</v>
      </c>
      <c r="D505" s="179" t="str">
        <f t="shared" si="244"/>
        <v/>
      </c>
      <c r="E505" s="179"/>
      <c r="F505" s="179"/>
      <c r="G505" s="179">
        <f>G146*'WK3 - Notional GI Yr1 YIELD'!$D70</f>
        <v>0</v>
      </c>
      <c r="H505" s="179">
        <f>H146*'WK3 - Notional GI Yr1 YIELD'!$D70</f>
        <v>0</v>
      </c>
      <c r="I505" s="179">
        <f>I146*'WK3 - Notional GI Yr1 YIELD'!$D70</f>
        <v>0</v>
      </c>
      <c r="J505" s="179">
        <f>J146*'WK3 - Notional GI Yr1 YIELD'!$D70</f>
        <v>0</v>
      </c>
      <c r="K505" s="179">
        <f>K146*'WK3 - Notional GI Yr1 YIELD'!$D70</f>
        <v>0</v>
      </c>
      <c r="L505" s="179">
        <f>L146*'WK3 - Notional GI Yr1 YIELD'!$D70</f>
        <v>0</v>
      </c>
      <c r="M505" s="179"/>
      <c r="N505" s="179"/>
      <c r="O505" s="179"/>
      <c r="P505" s="179"/>
      <c r="Q505" s="179"/>
      <c r="R505" s="179"/>
      <c r="S505" s="179"/>
      <c r="T505" s="179"/>
      <c r="U505" s="179"/>
      <c r="V505" s="179"/>
      <c r="W505" s="179"/>
      <c r="X505" s="179"/>
      <c r="Y505" s="179"/>
      <c r="Z505" s="179"/>
      <c r="AA505" s="179"/>
      <c r="AB505" s="179"/>
      <c r="AC505" s="179"/>
      <c r="AD505" s="179"/>
      <c r="AE505" s="179"/>
      <c r="AF505" s="179"/>
      <c r="AG505" s="179"/>
      <c r="AH505" s="179"/>
      <c r="AI505" s="179"/>
      <c r="AJ505" s="179"/>
      <c r="AK505" s="179"/>
      <c r="AL505" s="179"/>
      <c r="AM505" s="179"/>
      <c r="AN505" s="179"/>
      <c r="AO505" s="179"/>
    </row>
    <row r="506" spans="3:41" hidden="1" x14ac:dyDescent="0.2">
      <c r="C506" s="179" t="str">
        <f>C147</f>
        <v>Special rate</v>
      </c>
      <c r="D506" s="179" t="str">
        <f>D147</f>
        <v/>
      </c>
      <c r="E506" s="179"/>
      <c r="F506" s="179"/>
      <c r="G506" s="179">
        <f>G147*'WK3 - Notional GI Yr1 YIELD'!$D122</f>
        <v>0</v>
      </c>
      <c r="H506" s="179">
        <f>H147*'WK3 - Notional GI Yr1 YIELD'!$D122</f>
        <v>0</v>
      </c>
      <c r="I506" s="179">
        <f>I147*'WK3 - Notional GI Yr1 YIELD'!$D122</f>
        <v>0</v>
      </c>
      <c r="J506" s="179">
        <f>J147*'WK3 - Notional GI Yr1 YIELD'!$D122</f>
        <v>0</v>
      </c>
      <c r="K506" s="179">
        <f>K147*'WK3 - Notional GI Yr1 YIELD'!$D122</f>
        <v>0</v>
      </c>
      <c r="L506" s="179">
        <f>L147*'WK3 - Notional GI Yr1 YIELD'!$D122</f>
        <v>0</v>
      </c>
      <c r="M506" s="179"/>
      <c r="N506" s="179"/>
      <c r="O506" s="179"/>
      <c r="P506" s="179"/>
      <c r="Q506" s="179"/>
      <c r="R506" s="179"/>
      <c r="S506" s="179"/>
      <c r="T506" s="179"/>
      <c r="U506" s="179"/>
      <c r="V506" s="179"/>
      <c r="W506" s="179"/>
      <c r="X506" s="179"/>
      <c r="Y506" s="179"/>
      <c r="Z506" s="179"/>
      <c r="AA506" s="179"/>
      <c r="AB506" s="179"/>
      <c r="AC506" s="179"/>
      <c r="AD506" s="179"/>
      <c r="AE506" s="179"/>
      <c r="AF506" s="179"/>
      <c r="AG506" s="179"/>
      <c r="AH506" s="179"/>
      <c r="AI506" s="179"/>
      <c r="AJ506" s="179"/>
      <c r="AK506" s="179"/>
      <c r="AL506" s="179"/>
      <c r="AM506" s="179"/>
      <c r="AN506" s="179"/>
      <c r="AO506" s="179"/>
    </row>
    <row r="507" spans="3:41" hidden="1" x14ac:dyDescent="0.2">
      <c r="C507" s="179" t="str">
        <f t="shared" ref="C507:D515" si="245">C148</f>
        <v>Special rate</v>
      </c>
      <c r="D507" s="179" t="str">
        <f t="shared" si="245"/>
        <v/>
      </c>
      <c r="E507" s="179"/>
      <c r="F507" s="179"/>
      <c r="G507" s="179">
        <f>G148*'WK3 - Notional GI Yr1 YIELD'!$D123</f>
        <v>0</v>
      </c>
      <c r="H507" s="179">
        <f>H148*'WK3 - Notional GI Yr1 YIELD'!$D123</f>
        <v>0</v>
      </c>
      <c r="I507" s="179">
        <f>I148*'WK3 - Notional GI Yr1 YIELD'!$D123</f>
        <v>0</v>
      </c>
      <c r="J507" s="179">
        <f>J148*'WK3 - Notional GI Yr1 YIELD'!$D123</f>
        <v>0</v>
      </c>
      <c r="K507" s="179">
        <f>K148*'WK3 - Notional GI Yr1 YIELD'!$D123</f>
        <v>0</v>
      </c>
      <c r="L507" s="179">
        <f>L148*'WK3 - Notional GI Yr1 YIELD'!$D123</f>
        <v>0</v>
      </c>
      <c r="M507" s="179"/>
      <c r="N507" s="179"/>
      <c r="O507" s="179"/>
      <c r="P507" s="179"/>
      <c r="Q507" s="179"/>
      <c r="R507" s="179"/>
      <c r="S507" s="179"/>
      <c r="T507" s="179"/>
      <c r="U507" s="179"/>
      <c r="V507" s="179"/>
      <c r="W507" s="179"/>
      <c r="X507" s="179"/>
      <c r="Y507" s="179"/>
      <c r="Z507" s="179"/>
      <c r="AA507" s="179"/>
      <c r="AB507" s="179"/>
      <c r="AC507" s="179"/>
      <c r="AD507" s="179"/>
      <c r="AE507" s="179"/>
      <c r="AF507" s="179"/>
      <c r="AG507" s="179"/>
      <c r="AH507" s="179"/>
      <c r="AI507" s="179"/>
      <c r="AJ507" s="179"/>
      <c r="AK507" s="179"/>
      <c r="AL507" s="179"/>
      <c r="AM507" s="179"/>
      <c r="AN507" s="179"/>
      <c r="AO507" s="179"/>
    </row>
    <row r="508" spans="3:41" hidden="1" x14ac:dyDescent="0.2">
      <c r="C508" s="179" t="str">
        <f t="shared" si="245"/>
        <v>Special rate</v>
      </c>
      <c r="D508" s="179" t="str">
        <f t="shared" si="245"/>
        <v/>
      </c>
      <c r="E508" s="179"/>
      <c r="F508" s="179"/>
      <c r="G508" s="179">
        <f>G149*'WK3 - Notional GI Yr1 YIELD'!$D124</f>
        <v>0</v>
      </c>
      <c r="H508" s="179">
        <f>H149*'WK3 - Notional GI Yr1 YIELD'!$D124</f>
        <v>0</v>
      </c>
      <c r="I508" s="179">
        <f>I149*'WK3 - Notional GI Yr1 YIELD'!$D124</f>
        <v>0</v>
      </c>
      <c r="J508" s="179">
        <f>J149*'WK3 - Notional GI Yr1 YIELD'!$D124</f>
        <v>0</v>
      </c>
      <c r="K508" s="179">
        <f>K149*'WK3 - Notional GI Yr1 YIELD'!$D124</f>
        <v>0</v>
      </c>
      <c r="L508" s="179">
        <f>L149*'WK3 - Notional GI Yr1 YIELD'!$D124</f>
        <v>0</v>
      </c>
      <c r="M508" s="179"/>
      <c r="N508" s="179"/>
      <c r="O508" s="179"/>
      <c r="P508" s="179"/>
      <c r="Q508" s="179"/>
      <c r="R508" s="179"/>
      <c r="S508" s="179"/>
      <c r="T508" s="179"/>
      <c r="U508" s="179"/>
      <c r="V508" s="179"/>
      <c r="W508" s="179"/>
      <c r="X508" s="179"/>
      <c r="Y508" s="179"/>
      <c r="Z508" s="179"/>
      <c r="AA508" s="179"/>
      <c r="AB508" s="179"/>
      <c r="AC508" s="179"/>
      <c r="AD508" s="179"/>
      <c r="AE508" s="179"/>
      <c r="AF508" s="179"/>
      <c r="AG508" s="179"/>
      <c r="AH508" s="179"/>
      <c r="AI508" s="179"/>
      <c r="AJ508" s="179"/>
      <c r="AK508" s="179"/>
      <c r="AL508" s="179"/>
      <c r="AM508" s="179"/>
      <c r="AN508" s="179"/>
      <c r="AO508" s="179"/>
    </row>
    <row r="509" spans="3:41" hidden="1" x14ac:dyDescent="0.2">
      <c r="C509" s="179" t="str">
        <f t="shared" si="245"/>
        <v>Special rate</v>
      </c>
      <c r="D509" s="179" t="str">
        <f t="shared" si="245"/>
        <v/>
      </c>
      <c r="E509" s="179"/>
      <c r="F509" s="179"/>
      <c r="G509" s="179">
        <f>G150*'WK3 - Notional GI Yr1 YIELD'!$D125</f>
        <v>0</v>
      </c>
      <c r="H509" s="179">
        <f>H150*'WK3 - Notional GI Yr1 YIELD'!$D125</f>
        <v>0</v>
      </c>
      <c r="I509" s="179">
        <f>I150*'WK3 - Notional GI Yr1 YIELD'!$D125</f>
        <v>0</v>
      </c>
      <c r="J509" s="179">
        <f>J150*'WK3 - Notional GI Yr1 YIELD'!$D125</f>
        <v>0</v>
      </c>
      <c r="K509" s="179">
        <f>K150*'WK3 - Notional GI Yr1 YIELD'!$D125</f>
        <v>0</v>
      </c>
      <c r="L509" s="179">
        <f>L150*'WK3 - Notional GI Yr1 YIELD'!$D125</f>
        <v>0</v>
      </c>
      <c r="M509" s="179"/>
      <c r="N509" s="179"/>
      <c r="O509" s="179"/>
      <c r="P509" s="179"/>
      <c r="Q509" s="179"/>
      <c r="R509" s="179"/>
      <c r="S509" s="179"/>
      <c r="T509" s="179"/>
      <c r="U509" s="179"/>
      <c r="V509" s="179"/>
      <c r="W509" s="179"/>
      <c r="X509" s="179"/>
      <c r="Y509" s="179"/>
      <c r="Z509" s="179"/>
      <c r="AA509" s="179"/>
      <c r="AB509" s="179"/>
      <c r="AC509" s="179"/>
      <c r="AD509" s="179"/>
      <c r="AE509" s="179"/>
      <c r="AF509" s="179"/>
      <c r="AG509" s="179"/>
      <c r="AH509" s="179"/>
      <c r="AI509" s="179"/>
      <c r="AJ509" s="179"/>
      <c r="AK509" s="179"/>
      <c r="AL509" s="179"/>
      <c r="AM509" s="179"/>
      <c r="AN509" s="179"/>
      <c r="AO509" s="179"/>
    </row>
    <row r="510" spans="3:41" hidden="1" x14ac:dyDescent="0.2">
      <c r="C510" s="179" t="str">
        <f t="shared" si="245"/>
        <v>Special rate</v>
      </c>
      <c r="D510" s="179" t="str">
        <f t="shared" si="245"/>
        <v/>
      </c>
      <c r="E510" s="179"/>
      <c r="F510" s="179"/>
      <c r="G510" s="179">
        <f>G151*'WK3 - Notional GI Yr1 YIELD'!$D126</f>
        <v>0</v>
      </c>
      <c r="H510" s="179">
        <f>H151*'WK3 - Notional GI Yr1 YIELD'!$D126</f>
        <v>0</v>
      </c>
      <c r="I510" s="179">
        <f>I151*'WK3 - Notional GI Yr1 YIELD'!$D126</f>
        <v>0</v>
      </c>
      <c r="J510" s="179">
        <f>J151*'WK3 - Notional GI Yr1 YIELD'!$D126</f>
        <v>0</v>
      </c>
      <c r="K510" s="179">
        <f>K151*'WK3 - Notional GI Yr1 YIELD'!$D126</f>
        <v>0</v>
      </c>
      <c r="L510" s="179">
        <f>L151*'WK3 - Notional GI Yr1 YIELD'!$D126</f>
        <v>0</v>
      </c>
      <c r="M510" s="179"/>
      <c r="N510" s="179"/>
      <c r="O510" s="179"/>
      <c r="P510" s="179"/>
      <c r="Q510" s="179"/>
      <c r="R510" s="179"/>
      <c r="S510" s="179"/>
      <c r="T510" s="179"/>
      <c r="U510" s="179"/>
      <c r="V510" s="179"/>
      <c r="W510" s="179"/>
      <c r="X510" s="179"/>
      <c r="Y510" s="179"/>
      <c r="Z510" s="179"/>
      <c r="AA510" s="179"/>
      <c r="AB510" s="179"/>
      <c r="AC510" s="179"/>
      <c r="AD510" s="179"/>
      <c r="AE510" s="179"/>
      <c r="AF510" s="179"/>
      <c r="AG510" s="179"/>
      <c r="AH510" s="179"/>
      <c r="AI510" s="179"/>
      <c r="AJ510" s="179"/>
      <c r="AK510" s="179"/>
      <c r="AL510" s="179"/>
      <c r="AM510" s="179"/>
      <c r="AN510" s="179"/>
      <c r="AO510" s="179"/>
    </row>
    <row r="511" spans="3:41" hidden="1" x14ac:dyDescent="0.2">
      <c r="C511" s="179" t="str">
        <f t="shared" si="245"/>
        <v>Special rate</v>
      </c>
      <c r="D511" s="179" t="str">
        <f t="shared" si="245"/>
        <v/>
      </c>
      <c r="E511" s="179"/>
      <c r="F511" s="179"/>
      <c r="G511" s="179">
        <f>G152*'WK3 - Notional GI Yr1 YIELD'!$D127</f>
        <v>0</v>
      </c>
      <c r="H511" s="179">
        <f>H152*'WK3 - Notional GI Yr1 YIELD'!$D127</f>
        <v>0</v>
      </c>
      <c r="I511" s="179">
        <f>I152*'WK3 - Notional GI Yr1 YIELD'!$D127</f>
        <v>0</v>
      </c>
      <c r="J511" s="179">
        <f>J152*'WK3 - Notional GI Yr1 YIELD'!$D127</f>
        <v>0</v>
      </c>
      <c r="K511" s="179">
        <f>K152*'WK3 - Notional GI Yr1 YIELD'!$D127</f>
        <v>0</v>
      </c>
      <c r="L511" s="179">
        <f>L152*'WK3 - Notional GI Yr1 YIELD'!$D127</f>
        <v>0</v>
      </c>
      <c r="M511" s="179"/>
      <c r="N511" s="179"/>
      <c r="O511" s="179"/>
      <c r="P511" s="179"/>
      <c r="Q511" s="179"/>
      <c r="R511" s="179"/>
      <c r="S511" s="179"/>
      <c r="T511" s="179"/>
      <c r="U511" s="179"/>
      <c r="V511" s="179"/>
      <c r="W511" s="179"/>
      <c r="X511" s="179"/>
      <c r="Y511" s="179"/>
      <c r="Z511" s="179"/>
      <c r="AA511" s="179"/>
      <c r="AB511" s="179"/>
      <c r="AC511" s="179"/>
      <c r="AD511" s="179"/>
      <c r="AE511" s="179"/>
      <c r="AF511" s="179"/>
      <c r="AG511" s="179"/>
      <c r="AH511" s="179"/>
      <c r="AI511" s="179"/>
      <c r="AJ511" s="179"/>
      <c r="AK511" s="179"/>
      <c r="AL511" s="179"/>
      <c r="AM511" s="179"/>
      <c r="AN511" s="179"/>
      <c r="AO511" s="179"/>
    </row>
    <row r="512" spans="3:41" hidden="1" x14ac:dyDescent="0.2">
      <c r="C512" s="179" t="str">
        <f t="shared" si="245"/>
        <v>Special rate</v>
      </c>
      <c r="D512" s="179" t="str">
        <f t="shared" si="245"/>
        <v/>
      </c>
      <c r="E512" s="179"/>
      <c r="F512" s="179"/>
      <c r="G512" s="179">
        <f>G153*'WK3 - Notional GI Yr1 YIELD'!$D128</f>
        <v>0</v>
      </c>
      <c r="H512" s="179">
        <f>H153*'WK3 - Notional GI Yr1 YIELD'!$D128</f>
        <v>0</v>
      </c>
      <c r="I512" s="179">
        <f>I153*'WK3 - Notional GI Yr1 YIELD'!$D128</f>
        <v>0</v>
      </c>
      <c r="J512" s="179">
        <f>J153*'WK3 - Notional GI Yr1 YIELD'!$D128</f>
        <v>0</v>
      </c>
      <c r="K512" s="179">
        <f>K153*'WK3 - Notional GI Yr1 YIELD'!$D128</f>
        <v>0</v>
      </c>
      <c r="L512" s="179">
        <f>L153*'WK3 - Notional GI Yr1 YIELD'!$D128</f>
        <v>0</v>
      </c>
      <c r="M512" s="179"/>
      <c r="N512" s="179"/>
      <c r="O512" s="179"/>
      <c r="P512" s="179"/>
      <c r="Q512" s="179"/>
      <c r="R512" s="179"/>
      <c r="S512" s="179"/>
      <c r="T512" s="179"/>
      <c r="U512" s="179"/>
      <c r="V512" s="179"/>
      <c r="W512" s="179"/>
      <c r="X512" s="179"/>
      <c r="Y512" s="179"/>
      <c r="Z512" s="179"/>
      <c r="AA512" s="179"/>
      <c r="AB512" s="179"/>
      <c r="AC512" s="179"/>
      <c r="AD512" s="179"/>
      <c r="AE512" s="179"/>
      <c r="AF512" s="179"/>
      <c r="AG512" s="179"/>
      <c r="AH512" s="179"/>
      <c r="AI512" s="179"/>
      <c r="AJ512" s="179"/>
      <c r="AK512" s="179"/>
      <c r="AL512" s="179"/>
      <c r="AM512" s="179"/>
      <c r="AN512" s="179"/>
      <c r="AO512" s="179"/>
    </row>
    <row r="513" spans="3:41" hidden="1" x14ac:dyDescent="0.2">
      <c r="C513" s="179" t="str">
        <f t="shared" si="245"/>
        <v>Special rate</v>
      </c>
      <c r="D513" s="179" t="str">
        <f t="shared" si="245"/>
        <v/>
      </c>
      <c r="E513" s="179"/>
      <c r="F513" s="179"/>
      <c r="G513" s="179">
        <f>G154*'WK3 - Notional GI Yr1 YIELD'!$D129</f>
        <v>0</v>
      </c>
      <c r="H513" s="179">
        <f>H154*'WK3 - Notional GI Yr1 YIELD'!$D129</f>
        <v>0</v>
      </c>
      <c r="I513" s="179">
        <f>I154*'WK3 - Notional GI Yr1 YIELD'!$D129</f>
        <v>0</v>
      </c>
      <c r="J513" s="179">
        <f>J154*'WK3 - Notional GI Yr1 YIELD'!$D129</f>
        <v>0</v>
      </c>
      <c r="K513" s="179">
        <f>K154*'WK3 - Notional GI Yr1 YIELD'!$D129</f>
        <v>0</v>
      </c>
      <c r="L513" s="179">
        <f>L154*'WK3 - Notional GI Yr1 YIELD'!$D129</f>
        <v>0</v>
      </c>
      <c r="M513" s="179"/>
      <c r="N513" s="179"/>
      <c r="O513" s="179"/>
      <c r="P513" s="179"/>
      <c r="Q513" s="179"/>
      <c r="R513" s="179"/>
      <c r="S513" s="179"/>
      <c r="T513" s="179"/>
      <c r="U513" s="179"/>
      <c r="V513" s="179"/>
      <c r="W513" s="179"/>
      <c r="X513" s="179"/>
      <c r="Y513" s="179"/>
      <c r="Z513" s="179"/>
      <c r="AA513" s="179"/>
      <c r="AB513" s="179"/>
      <c r="AC513" s="179"/>
      <c r="AD513" s="179"/>
      <c r="AE513" s="179"/>
      <c r="AF513" s="179"/>
      <c r="AG513" s="179"/>
      <c r="AH513" s="179"/>
      <c r="AI513" s="179"/>
      <c r="AJ513" s="179"/>
      <c r="AK513" s="179"/>
      <c r="AL513" s="179"/>
      <c r="AM513" s="179"/>
      <c r="AN513" s="179"/>
      <c r="AO513" s="179"/>
    </row>
    <row r="514" spans="3:41" hidden="1" x14ac:dyDescent="0.2">
      <c r="C514" s="179" t="str">
        <f t="shared" si="245"/>
        <v>Special rate</v>
      </c>
      <c r="D514" s="179" t="str">
        <f t="shared" si="245"/>
        <v/>
      </c>
      <c r="E514" s="179"/>
      <c r="F514" s="179"/>
      <c r="G514" s="179">
        <f>G155*'WK3 - Notional GI Yr1 YIELD'!$D130</f>
        <v>0</v>
      </c>
      <c r="H514" s="179">
        <f>H155*'WK3 - Notional GI Yr1 YIELD'!$D130</f>
        <v>0</v>
      </c>
      <c r="I514" s="179">
        <f>I155*'WK3 - Notional GI Yr1 YIELD'!$D130</f>
        <v>0</v>
      </c>
      <c r="J514" s="179">
        <f>J155*'WK3 - Notional GI Yr1 YIELD'!$D130</f>
        <v>0</v>
      </c>
      <c r="K514" s="179">
        <f>K155*'WK3 - Notional GI Yr1 YIELD'!$D130</f>
        <v>0</v>
      </c>
      <c r="L514" s="179">
        <f>L155*'WK3 - Notional GI Yr1 YIELD'!$D130</f>
        <v>0</v>
      </c>
      <c r="M514" s="179"/>
      <c r="N514" s="179"/>
      <c r="O514" s="179"/>
      <c r="P514" s="179"/>
      <c r="Q514" s="179"/>
      <c r="R514" s="179"/>
      <c r="S514" s="179"/>
      <c r="T514" s="179"/>
      <c r="U514" s="179"/>
      <c r="V514" s="179"/>
      <c r="W514" s="179"/>
      <c r="X514" s="179"/>
      <c r="Y514" s="179"/>
      <c r="Z514" s="179"/>
      <c r="AA514" s="179"/>
      <c r="AB514" s="179"/>
      <c r="AC514" s="179"/>
      <c r="AD514" s="179"/>
      <c r="AE514" s="179"/>
      <c r="AF514" s="179"/>
      <c r="AG514" s="179"/>
      <c r="AH514" s="179"/>
      <c r="AI514" s="179"/>
      <c r="AJ514" s="179"/>
      <c r="AK514" s="179"/>
      <c r="AL514" s="179"/>
      <c r="AM514" s="179"/>
      <c r="AN514" s="179"/>
      <c r="AO514" s="179"/>
    </row>
    <row r="515" spans="3:41" hidden="1" x14ac:dyDescent="0.2">
      <c r="C515" s="179" t="str">
        <f t="shared" si="245"/>
        <v>Special rate</v>
      </c>
      <c r="D515" s="179" t="str">
        <f t="shared" si="245"/>
        <v/>
      </c>
      <c r="E515" s="179"/>
      <c r="F515" s="179"/>
      <c r="G515" s="179">
        <f>G156*'WK3 - Notional GI Yr1 YIELD'!$D131</f>
        <v>0</v>
      </c>
      <c r="H515" s="179">
        <f>H156*'WK3 - Notional GI Yr1 YIELD'!$D131</f>
        <v>0</v>
      </c>
      <c r="I515" s="179">
        <f>I156*'WK3 - Notional GI Yr1 YIELD'!$D131</f>
        <v>0</v>
      </c>
      <c r="J515" s="179">
        <f>J156*'WK3 - Notional GI Yr1 YIELD'!$D131</f>
        <v>0</v>
      </c>
      <c r="K515" s="179">
        <f>K156*'WK3 - Notional GI Yr1 YIELD'!$D131</f>
        <v>0</v>
      </c>
      <c r="L515" s="179">
        <f>L156*'WK3 - Notional GI Yr1 YIELD'!$D131</f>
        <v>0</v>
      </c>
      <c r="M515" s="179"/>
      <c r="N515" s="179"/>
      <c r="O515" s="179"/>
      <c r="P515" s="179"/>
      <c r="Q515" s="179"/>
      <c r="R515" s="179"/>
      <c r="S515" s="179"/>
      <c r="T515" s="179"/>
      <c r="U515" s="179"/>
      <c r="V515" s="179"/>
      <c r="W515" s="179"/>
      <c r="X515" s="179"/>
      <c r="Y515" s="179"/>
      <c r="Z515" s="179"/>
      <c r="AA515" s="179"/>
      <c r="AB515" s="179"/>
      <c r="AC515" s="179"/>
      <c r="AD515" s="179"/>
      <c r="AE515" s="179"/>
      <c r="AF515" s="179"/>
      <c r="AG515" s="179"/>
      <c r="AH515" s="179"/>
      <c r="AI515" s="179"/>
      <c r="AJ515" s="179"/>
      <c r="AK515" s="179"/>
      <c r="AL515" s="179"/>
      <c r="AM515" s="179"/>
      <c r="AN515" s="179"/>
      <c r="AO515" s="179"/>
    </row>
    <row r="516" spans="3:41" s="162" customFormat="1" ht="12" hidden="1" x14ac:dyDescent="0.25">
      <c r="C516" s="656"/>
      <c r="D516" s="656" t="s">
        <v>473</v>
      </c>
      <c r="E516" s="656"/>
      <c r="F516" s="656"/>
      <c r="G516" s="656">
        <f t="shared" ref="G516:L516" si="246">SUM(G496:G515)</f>
        <v>4676107.1585099986</v>
      </c>
      <c r="H516" s="656">
        <f t="shared" si="246"/>
        <v>4793009.8374727489</v>
      </c>
      <c r="I516" s="656">
        <f t="shared" si="246"/>
        <v>4912835.0834095664</v>
      </c>
      <c r="J516" s="656">
        <f t="shared" si="246"/>
        <v>5035655.9604948051</v>
      </c>
      <c r="K516" s="656">
        <f t="shared" si="246"/>
        <v>0</v>
      </c>
      <c r="L516" s="656">
        <f t="shared" si="246"/>
        <v>0</v>
      </c>
      <c r="M516" s="656"/>
      <c r="N516" s="656"/>
      <c r="O516" s="656"/>
      <c r="P516" s="656"/>
      <c r="Q516" s="656"/>
      <c r="R516" s="656"/>
      <c r="S516" s="656"/>
      <c r="T516" s="656"/>
      <c r="U516" s="656"/>
      <c r="V516" s="656"/>
      <c r="W516" s="656"/>
      <c r="X516" s="656"/>
      <c r="Y516" s="656"/>
      <c r="Z516" s="656"/>
      <c r="AA516" s="656"/>
      <c r="AB516" s="656"/>
      <c r="AC516" s="656"/>
      <c r="AD516" s="656"/>
      <c r="AE516" s="656"/>
      <c r="AF516" s="656"/>
      <c r="AG516" s="656"/>
      <c r="AH516" s="656"/>
      <c r="AI516" s="656"/>
      <c r="AJ516" s="656"/>
      <c r="AK516" s="656"/>
      <c r="AL516" s="656"/>
      <c r="AM516" s="656"/>
      <c r="AN516" s="656"/>
      <c r="AO516" s="656"/>
    </row>
    <row r="517" spans="3:41" hidden="1" x14ac:dyDescent="0.2">
      <c r="C517" s="179" t="str">
        <f>C158</f>
        <v>Mining</v>
      </c>
      <c r="D517" s="179" t="str">
        <f>D158</f>
        <v/>
      </c>
      <c r="E517" s="179"/>
      <c r="F517" s="179"/>
      <c r="G517" s="179">
        <f>G158*'WK3 - Notional GI Yr1 YIELD'!$D72</f>
        <v>0</v>
      </c>
      <c r="H517" s="179">
        <f>H158*'WK3 - Notional GI Yr1 YIELD'!$D72</f>
        <v>0</v>
      </c>
      <c r="I517" s="179">
        <f>I158*'WK3 - Notional GI Yr1 YIELD'!$D72</f>
        <v>0</v>
      </c>
      <c r="J517" s="179">
        <f>J158*'WK3 - Notional GI Yr1 YIELD'!$D72</f>
        <v>0</v>
      </c>
      <c r="K517" s="179">
        <f>K158*'WK3 - Notional GI Yr1 YIELD'!$D72</f>
        <v>0</v>
      </c>
      <c r="L517" s="179">
        <f>L158*'WK3 - Notional GI Yr1 YIELD'!$D72</f>
        <v>0</v>
      </c>
      <c r="M517" s="179"/>
      <c r="N517" s="179"/>
      <c r="O517" s="179"/>
      <c r="P517" s="179"/>
      <c r="Q517" s="179"/>
      <c r="R517" s="179"/>
      <c r="S517" s="179"/>
      <c r="T517" s="179"/>
      <c r="U517" s="179"/>
      <c r="V517" s="179"/>
      <c r="W517" s="179"/>
      <c r="X517" s="179"/>
      <c r="Y517" s="179"/>
      <c r="Z517" s="179"/>
      <c r="AA517" s="179"/>
      <c r="AB517" s="179"/>
      <c r="AC517" s="179"/>
      <c r="AD517" s="179"/>
      <c r="AE517" s="179"/>
      <c r="AF517" s="179"/>
      <c r="AG517" s="179"/>
      <c r="AH517" s="179"/>
      <c r="AI517" s="179"/>
      <c r="AJ517" s="179"/>
      <c r="AK517" s="179"/>
      <c r="AL517" s="179"/>
      <c r="AM517" s="179"/>
      <c r="AN517" s="179"/>
      <c r="AO517" s="179"/>
    </row>
    <row r="518" spans="3:41" hidden="1" x14ac:dyDescent="0.2">
      <c r="C518" s="179" t="str">
        <f t="shared" ref="C518:D526" si="247">C159</f>
        <v>Mining</v>
      </c>
      <c r="D518" s="179" t="str">
        <f t="shared" si="247"/>
        <v/>
      </c>
      <c r="E518" s="179"/>
      <c r="F518" s="179"/>
      <c r="G518" s="179">
        <f>G159*'WK3 - Notional GI Yr1 YIELD'!$D73</f>
        <v>0</v>
      </c>
      <c r="H518" s="179">
        <f>H159*'WK3 - Notional GI Yr1 YIELD'!$D73</f>
        <v>0</v>
      </c>
      <c r="I518" s="179">
        <f>I159*'WK3 - Notional GI Yr1 YIELD'!$D73</f>
        <v>0</v>
      </c>
      <c r="J518" s="179">
        <f>J159*'WK3 - Notional GI Yr1 YIELD'!$D73</f>
        <v>0</v>
      </c>
      <c r="K518" s="179">
        <f>K159*'WK3 - Notional GI Yr1 YIELD'!$D73</f>
        <v>0</v>
      </c>
      <c r="L518" s="179">
        <f>L159*'WK3 - Notional GI Yr1 YIELD'!$D73</f>
        <v>0</v>
      </c>
      <c r="M518" s="179"/>
      <c r="N518" s="179"/>
      <c r="O518" s="179"/>
      <c r="P518" s="179"/>
      <c r="Q518" s="179"/>
      <c r="R518" s="179"/>
      <c r="S518" s="179"/>
      <c r="T518" s="179"/>
      <c r="U518" s="179"/>
      <c r="V518" s="179"/>
      <c r="W518" s="179"/>
      <c r="X518" s="179"/>
      <c r="Y518" s="179"/>
      <c r="Z518" s="179"/>
      <c r="AA518" s="179"/>
      <c r="AB518" s="179"/>
      <c r="AC518" s="179"/>
      <c r="AD518" s="179"/>
      <c r="AE518" s="179"/>
      <c r="AF518" s="179"/>
      <c r="AG518" s="179"/>
      <c r="AH518" s="179"/>
      <c r="AI518" s="179"/>
      <c r="AJ518" s="179"/>
      <c r="AK518" s="179"/>
      <c r="AL518" s="179"/>
      <c r="AM518" s="179"/>
      <c r="AN518" s="179"/>
      <c r="AO518" s="179"/>
    </row>
    <row r="519" spans="3:41" hidden="1" x14ac:dyDescent="0.2">
      <c r="C519" s="179" t="str">
        <f t="shared" si="247"/>
        <v>Mining</v>
      </c>
      <c r="D519" s="179" t="str">
        <f t="shared" si="247"/>
        <v/>
      </c>
      <c r="E519" s="179"/>
      <c r="F519" s="179"/>
      <c r="G519" s="179">
        <f>G160*'WK3 - Notional GI Yr1 YIELD'!$D74</f>
        <v>0</v>
      </c>
      <c r="H519" s="179">
        <f>H160*'WK3 - Notional GI Yr1 YIELD'!$D74</f>
        <v>0</v>
      </c>
      <c r="I519" s="179">
        <f>I160*'WK3 - Notional GI Yr1 YIELD'!$D74</f>
        <v>0</v>
      </c>
      <c r="J519" s="179">
        <f>J160*'WK3 - Notional GI Yr1 YIELD'!$D74</f>
        <v>0</v>
      </c>
      <c r="K519" s="179">
        <f>K160*'WK3 - Notional GI Yr1 YIELD'!$D74</f>
        <v>0</v>
      </c>
      <c r="L519" s="179">
        <f>L160*'WK3 - Notional GI Yr1 YIELD'!$D74</f>
        <v>0</v>
      </c>
      <c r="M519" s="179"/>
      <c r="N519" s="179"/>
      <c r="O519" s="179"/>
      <c r="P519" s="179"/>
      <c r="Q519" s="179"/>
      <c r="R519" s="179"/>
      <c r="S519" s="179"/>
      <c r="T519" s="179"/>
      <c r="U519" s="179"/>
      <c r="V519" s="179"/>
      <c r="W519" s="179"/>
      <c r="X519" s="179"/>
      <c r="Y519" s="179"/>
      <c r="Z519" s="179"/>
      <c r="AA519" s="179"/>
      <c r="AB519" s="179"/>
      <c r="AC519" s="179"/>
      <c r="AD519" s="179"/>
      <c r="AE519" s="179"/>
      <c r="AF519" s="179"/>
      <c r="AG519" s="179"/>
      <c r="AH519" s="179"/>
      <c r="AI519" s="179"/>
      <c r="AJ519" s="179"/>
      <c r="AK519" s="179"/>
      <c r="AL519" s="179"/>
      <c r="AM519" s="179"/>
      <c r="AN519" s="179"/>
      <c r="AO519" s="179"/>
    </row>
    <row r="520" spans="3:41" hidden="1" x14ac:dyDescent="0.2">
      <c r="C520" s="179" t="str">
        <f t="shared" si="247"/>
        <v>Mining</v>
      </c>
      <c r="D520" s="179" t="str">
        <f t="shared" si="247"/>
        <v/>
      </c>
      <c r="E520" s="179"/>
      <c r="F520" s="179"/>
      <c r="G520" s="179">
        <f>G161*'WK3 - Notional GI Yr1 YIELD'!$D75</f>
        <v>0</v>
      </c>
      <c r="H520" s="179">
        <f>H161*'WK3 - Notional GI Yr1 YIELD'!$D75</f>
        <v>0</v>
      </c>
      <c r="I520" s="179">
        <f>I161*'WK3 - Notional GI Yr1 YIELD'!$D75</f>
        <v>0</v>
      </c>
      <c r="J520" s="179">
        <f>J161*'WK3 - Notional GI Yr1 YIELD'!$D75</f>
        <v>0</v>
      </c>
      <c r="K520" s="179">
        <f>K161*'WK3 - Notional GI Yr1 YIELD'!$D75</f>
        <v>0</v>
      </c>
      <c r="L520" s="179">
        <f>L161*'WK3 - Notional GI Yr1 YIELD'!$D75</f>
        <v>0</v>
      </c>
      <c r="M520" s="179"/>
      <c r="N520" s="179"/>
      <c r="O520" s="179"/>
      <c r="P520" s="179"/>
      <c r="Q520" s="179"/>
      <c r="R520" s="179"/>
      <c r="S520" s="179"/>
      <c r="T520" s="179"/>
      <c r="U520" s="179"/>
      <c r="V520" s="179"/>
      <c r="W520" s="179"/>
      <c r="X520" s="179"/>
      <c r="Y520" s="179"/>
      <c r="Z520" s="179"/>
      <c r="AA520" s="179"/>
      <c r="AB520" s="179"/>
      <c r="AC520" s="179"/>
      <c r="AD520" s="179"/>
      <c r="AE520" s="179"/>
      <c r="AF520" s="179"/>
      <c r="AG520" s="179"/>
      <c r="AH520" s="179"/>
      <c r="AI520" s="179"/>
      <c r="AJ520" s="179"/>
      <c r="AK520" s="179"/>
      <c r="AL520" s="179"/>
      <c r="AM520" s="179"/>
      <c r="AN520" s="179"/>
      <c r="AO520" s="179"/>
    </row>
    <row r="521" spans="3:41" hidden="1" x14ac:dyDescent="0.2">
      <c r="C521" s="179" t="str">
        <f t="shared" si="247"/>
        <v>Mining</v>
      </c>
      <c r="D521" s="179" t="str">
        <f t="shared" si="247"/>
        <v/>
      </c>
      <c r="E521" s="179"/>
      <c r="F521" s="179"/>
      <c r="G521" s="179">
        <f>G162*'WK3 - Notional GI Yr1 YIELD'!$D76</f>
        <v>0</v>
      </c>
      <c r="H521" s="179">
        <f>H162*'WK3 - Notional GI Yr1 YIELD'!$D76</f>
        <v>0</v>
      </c>
      <c r="I521" s="179">
        <f>I162*'WK3 - Notional GI Yr1 YIELD'!$D76</f>
        <v>0</v>
      </c>
      <c r="J521" s="179">
        <f>J162*'WK3 - Notional GI Yr1 YIELD'!$D76</f>
        <v>0</v>
      </c>
      <c r="K521" s="179">
        <f>K162*'WK3 - Notional GI Yr1 YIELD'!$D76</f>
        <v>0</v>
      </c>
      <c r="L521" s="179">
        <f>L162*'WK3 - Notional GI Yr1 YIELD'!$D76</f>
        <v>0</v>
      </c>
      <c r="M521" s="179"/>
      <c r="N521" s="179"/>
      <c r="O521" s="179"/>
      <c r="P521" s="179"/>
      <c r="Q521" s="179"/>
      <c r="R521" s="179"/>
      <c r="S521" s="179"/>
      <c r="T521" s="179"/>
      <c r="U521" s="179"/>
      <c r="V521" s="179"/>
      <c r="W521" s="179"/>
      <c r="X521" s="179"/>
      <c r="Y521" s="179"/>
      <c r="Z521" s="179"/>
      <c r="AA521" s="179"/>
      <c r="AB521" s="179"/>
      <c r="AC521" s="179"/>
      <c r="AD521" s="179"/>
      <c r="AE521" s="179"/>
      <c r="AF521" s="179"/>
      <c r="AG521" s="179"/>
      <c r="AH521" s="179"/>
      <c r="AI521" s="179"/>
      <c r="AJ521" s="179"/>
      <c r="AK521" s="179"/>
      <c r="AL521" s="179"/>
      <c r="AM521" s="179"/>
      <c r="AN521" s="179"/>
      <c r="AO521" s="179"/>
    </row>
    <row r="522" spans="3:41" hidden="1" x14ac:dyDescent="0.2">
      <c r="C522" s="179" t="str">
        <f t="shared" si="247"/>
        <v>Mining</v>
      </c>
      <c r="D522" s="179" t="str">
        <f t="shared" si="247"/>
        <v/>
      </c>
      <c r="E522" s="179"/>
      <c r="F522" s="179"/>
      <c r="G522" s="179">
        <f>G163*'WK3 - Notional GI Yr1 YIELD'!$D77</f>
        <v>0</v>
      </c>
      <c r="H522" s="179">
        <f>H163*'WK3 - Notional GI Yr1 YIELD'!$D77</f>
        <v>0</v>
      </c>
      <c r="I522" s="179">
        <f>I163*'WK3 - Notional GI Yr1 YIELD'!$D77</f>
        <v>0</v>
      </c>
      <c r="J522" s="179">
        <f>J163*'WK3 - Notional GI Yr1 YIELD'!$D77</f>
        <v>0</v>
      </c>
      <c r="K522" s="179">
        <f>K163*'WK3 - Notional GI Yr1 YIELD'!$D77</f>
        <v>0</v>
      </c>
      <c r="L522" s="179">
        <f>L163*'WK3 - Notional GI Yr1 YIELD'!$D77</f>
        <v>0</v>
      </c>
      <c r="M522" s="179"/>
      <c r="N522" s="179"/>
      <c r="O522" s="179"/>
      <c r="P522" s="179"/>
      <c r="Q522" s="179"/>
      <c r="R522" s="179"/>
      <c r="S522" s="179"/>
      <c r="T522" s="179"/>
      <c r="U522" s="179"/>
      <c r="V522" s="179"/>
      <c r="W522" s="179"/>
      <c r="X522" s="179"/>
      <c r="Y522" s="179"/>
      <c r="Z522" s="179"/>
      <c r="AA522" s="179"/>
      <c r="AB522" s="179"/>
      <c r="AC522" s="179"/>
      <c r="AD522" s="179"/>
      <c r="AE522" s="179"/>
      <c r="AF522" s="179"/>
      <c r="AG522" s="179"/>
      <c r="AH522" s="179"/>
      <c r="AI522" s="179"/>
      <c r="AJ522" s="179"/>
      <c r="AK522" s="179"/>
      <c r="AL522" s="179"/>
      <c r="AM522" s="179"/>
      <c r="AN522" s="179"/>
      <c r="AO522" s="179"/>
    </row>
    <row r="523" spans="3:41" hidden="1" x14ac:dyDescent="0.2">
      <c r="C523" s="179" t="str">
        <f t="shared" si="247"/>
        <v>Mining</v>
      </c>
      <c r="D523" s="179" t="str">
        <f t="shared" si="247"/>
        <v/>
      </c>
      <c r="E523" s="179"/>
      <c r="F523" s="179"/>
      <c r="G523" s="179">
        <f>G164*'WK3 - Notional GI Yr1 YIELD'!$D78</f>
        <v>0</v>
      </c>
      <c r="H523" s="179">
        <f>H164*'WK3 - Notional GI Yr1 YIELD'!$D78</f>
        <v>0</v>
      </c>
      <c r="I523" s="179">
        <f>I164*'WK3 - Notional GI Yr1 YIELD'!$D78</f>
        <v>0</v>
      </c>
      <c r="J523" s="179">
        <f>J164*'WK3 - Notional GI Yr1 YIELD'!$D78</f>
        <v>0</v>
      </c>
      <c r="K523" s="179">
        <f>K164*'WK3 - Notional GI Yr1 YIELD'!$D78</f>
        <v>0</v>
      </c>
      <c r="L523" s="179">
        <f>L164*'WK3 - Notional GI Yr1 YIELD'!$D78</f>
        <v>0</v>
      </c>
      <c r="M523" s="179"/>
      <c r="N523" s="179"/>
      <c r="O523" s="179"/>
      <c r="P523" s="179"/>
      <c r="Q523" s="179"/>
      <c r="R523" s="179"/>
      <c r="S523" s="179"/>
      <c r="T523" s="179"/>
      <c r="U523" s="179"/>
      <c r="V523" s="179"/>
      <c r="W523" s="179"/>
      <c r="X523" s="179"/>
      <c r="Y523" s="179"/>
      <c r="Z523" s="179"/>
      <c r="AA523" s="179"/>
      <c r="AB523" s="179"/>
      <c r="AC523" s="179"/>
      <c r="AD523" s="179"/>
      <c r="AE523" s="179"/>
      <c r="AF523" s="179"/>
      <c r="AG523" s="179"/>
      <c r="AH523" s="179"/>
      <c r="AI523" s="179"/>
      <c r="AJ523" s="179"/>
      <c r="AK523" s="179"/>
      <c r="AL523" s="179"/>
      <c r="AM523" s="179"/>
      <c r="AN523" s="179"/>
      <c r="AO523" s="179"/>
    </row>
    <row r="524" spans="3:41" hidden="1" x14ac:dyDescent="0.2">
      <c r="C524" s="179" t="str">
        <f t="shared" si="247"/>
        <v>Mining</v>
      </c>
      <c r="D524" s="179" t="str">
        <f t="shared" si="247"/>
        <v/>
      </c>
      <c r="E524" s="179"/>
      <c r="F524" s="179"/>
      <c r="G524" s="179">
        <f>G165*'WK3 - Notional GI Yr1 YIELD'!$D79</f>
        <v>0</v>
      </c>
      <c r="H524" s="179">
        <f>H165*'WK3 - Notional GI Yr1 YIELD'!$D79</f>
        <v>0</v>
      </c>
      <c r="I524" s="179">
        <f>I165*'WK3 - Notional GI Yr1 YIELD'!$D79</f>
        <v>0</v>
      </c>
      <c r="J524" s="179">
        <f>J165*'WK3 - Notional GI Yr1 YIELD'!$D79</f>
        <v>0</v>
      </c>
      <c r="K524" s="179">
        <f>K165*'WK3 - Notional GI Yr1 YIELD'!$D79</f>
        <v>0</v>
      </c>
      <c r="L524" s="179">
        <f>L165*'WK3 - Notional GI Yr1 YIELD'!$D79</f>
        <v>0</v>
      </c>
      <c r="M524" s="179"/>
      <c r="N524" s="179"/>
      <c r="O524" s="179"/>
      <c r="P524" s="179"/>
      <c r="Q524" s="179"/>
      <c r="R524" s="179"/>
      <c r="S524" s="179"/>
      <c r="T524" s="179"/>
      <c r="U524" s="179"/>
      <c r="V524" s="179"/>
      <c r="W524" s="179"/>
      <c r="X524" s="179"/>
      <c r="Y524" s="179"/>
      <c r="Z524" s="179"/>
      <c r="AA524" s="179"/>
      <c r="AB524" s="179"/>
      <c r="AC524" s="179"/>
      <c r="AD524" s="179"/>
      <c r="AE524" s="179"/>
      <c r="AF524" s="179"/>
      <c r="AG524" s="179"/>
      <c r="AH524" s="179"/>
      <c r="AI524" s="179"/>
      <c r="AJ524" s="179"/>
      <c r="AK524" s="179"/>
      <c r="AL524" s="179"/>
      <c r="AM524" s="179"/>
      <c r="AN524" s="179"/>
      <c r="AO524" s="179"/>
    </row>
    <row r="525" spans="3:41" hidden="1" x14ac:dyDescent="0.2">
      <c r="C525" s="179" t="str">
        <f t="shared" si="247"/>
        <v>Mining</v>
      </c>
      <c r="D525" s="179" t="str">
        <f t="shared" si="247"/>
        <v/>
      </c>
      <c r="E525" s="179"/>
      <c r="F525" s="179"/>
      <c r="G525" s="179">
        <f>G166*'WK3 - Notional GI Yr1 YIELD'!$D80</f>
        <v>0</v>
      </c>
      <c r="H525" s="179">
        <f>H166*'WK3 - Notional GI Yr1 YIELD'!$D80</f>
        <v>0</v>
      </c>
      <c r="I525" s="179">
        <f>I166*'WK3 - Notional GI Yr1 YIELD'!$D80</f>
        <v>0</v>
      </c>
      <c r="J525" s="179">
        <f>J166*'WK3 - Notional GI Yr1 YIELD'!$D80</f>
        <v>0</v>
      </c>
      <c r="K525" s="179">
        <f>K166*'WK3 - Notional GI Yr1 YIELD'!$D80</f>
        <v>0</v>
      </c>
      <c r="L525" s="179">
        <f>L166*'WK3 - Notional GI Yr1 YIELD'!$D80</f>
        <v>0</v>
      </c>
      <c r="M525" s="179"/>
      <c r="N525" s="179"/>
      <c r="O525" s="179"/>
      <c r="P525" s="179"/>
      <c r="Q525" s="179"/>
      <c r="R525" s="179"/>
      <c r="S525" s="179"/>
      <c r="T525" s="179"/>
      <c r="U525" s="179"/>
      <c r="V525" s="179"/>
      <c r="W525" s="179"/>
      <c r="X525" s="179"/>
      <c r="Y525" s="179"/>
      <c r="Z525" s="179"/>
      <c r="AA525" s="179"/>
      <c r="AB525" s="179"/>
      <c r="AC525" s="179"/>
      <c r="AD525" s="179"/>
      <c r="AE525" s="179"/>
      <c r="AF525" s="179"/>
      <c r="AG525" s="179"/>
      <c r="AH525" s="179"/>
      <c r="AI525" s="179"/>
      <c r="AJ525" s="179"/>
      <c r="AK525" s="179"/>
      <c r="AL525" s="179"/>
      <c r="AM525" s="179"/>
      <c r="AN525" s="179"/>
      <c r="AO525" s="179"/>
    </row>
    <row r="526" spans="3:41" hidden="1" x14ac:dyDescent="0.2">
      <c r="C526" s="179" t="str">
        <f t="shared" si="247"/>
        <v>Mining</v>
      </c>
      <c r="D526" s="179" t="str">
        <f t="shared" si="247"/>
        <v/>
      </c>
      <c r="E526" s="179"/>
      <c r="F526" s="179"/>
      <c r="G526" s="179">
        <f>G167*'WK3 - Notional GI Yr1 YIELD'!$D81</f>
        <v>0</v>
      </c>
      <c r="H526" s="179">
        <f>H167*'WK3 - Notional GI Yr1 YIELD'!$D81</f>
        <v>0</v>
      </c>
      <c r="I526" s="179">
        <f>I167*'WK3 - Notional GI Yr1 YIELD'!$D81</f>
        <v>0</v>
      </c>
      <c r="J526" s="179">
        <f>J167*'WK3 - Notional GI Yr1 YIELD'!$D81</f>
        <v>0</v>
      </c>
      <c r="K526" s="179">
        <f>K167*'WK3 - Notional GI Yr1 YIELD'!$D81</f>
        <v>0</v>
      </c>
      <c r="L526" s="179">
        <f>L167*'WK3 - Notional GI Yr1 YIELD'!$D81</f>
        <v>0</v>
      </c>
      <c r="M526" s="179"/>
      <c r="N526" s="179"/>
      <c r="O526" s="179"/>
      <c r="P526" s="179"/>
      <c r="Q526" s="179"/>
      <c r="R526" s="179"/>
      <c r="S526" s="179"/>
      <c r="T526" s="179"/>
      <c r="U526" s="179"/>
      <c r="V526" s="179"/>
      <c r="W526" s="179"/>
      <c r="X526" s="179"/>
      <c r="Y526" s="179"/>
      <c r="Z526" s="179"/>
      <c r="AA526" s="179"/>
      <c r="AB526" s="179"/>
      <c r="AC526" s="179"/>
      <c r="AD526" s="179"/>
      <c r="AE526" s="179"/>
      <c r="AF526" s="179"/>
      <c r="AG526" s="179"/>
      <c r="AH526" s="179"/>
      <c r="AI526" s="179"/>
      <c r="AJ526" s="179"/>
      <c r="AK526" s="179"/>
      <c r="AL526" s="179"/>
      <c r="AM526" s="179"/>
      <c r="AN526" s="179"/>
      <c r="AO526" s="179"/>
    </row>
    <row r="527" spans="3:41" hidden="1" x14ac:dyDescent="0.2">
      <c r="C527" s="179" t="str">
        <f>C168</f>
        <v>Special rate</v>
      </c>
      <c r="D527" s="179" t="str">
        <f>D168</f>
        <v/>
      </c>
      <c r="E527" s="179"/>
      <c r="F527" s="179"/>
      <c r="G527" s="179">
        <f>G168*'WK3 - Notional GI Yr1 YIELD'!$D132</f>
        <v>0</v>
      </c>
      <c r="H527" s="179">
        <f>H168*'WK3 - Notional GI Yr1 YIELD'!$D132</f>
        <v>0</v>
      </c>
      <c r="I527" s="179">
        <f>I168*'WK3 - Notional GI Yr1 YIELD'!$D132</f>
        <v>0</v>
      </c>
      <c r="J527" s="179">
        <f>J168*'WK3 - Notional GI Yr1 YIELD'!$D132</f>
        <v>0</v>
      </c>
      <c r="K527" s="179">
        <f>K168*'WK3 - Notional GI Yr1 YIELD'!$D132</f>
        <v>0</v>
      </c>
      <c r="L527" s="179">
        <f>L168*'WK3 - Notional GI Yr1 YIELD'!$D132</f>
        <v>0</v>
      </c>
      <c r="M527" s="179"/>
      <c r="N527" s="179"/>
      <c r="O527" s="179"/>
      <c r="P527" s="179"/>
      <c r="Q527" s="179"/>
      <c r="R527" s="179"/>
      <c r="S527" s="179"/>
      <c r="T527" s="179"/>
      <c r="U527" s="179"/>
      <c r="V527" s="179"/>
      <c r="W527" s="179"/>
      <c r="X527" s="179"/>
      <c r="Y527" s="179"/>
      <c r="Z527" s="179"/>
      <c r="AA527" s="179"/>
      <c r="AB527" s="179"/>
      <c r="AC527" s="179"/>
      <c r="AD527" s="179"/>
      <c r="AE527" s="179"/>
      <c r="AF527" s="179"/>
      <c r="AG527" s="179"/>
      <c r="AH527" s="179"/>
      <c r="AI527" s="179"/>
      <c r="AJ527" s="179"/>
      <c r="AK527" s="179"/>
      <c r="AL527" s="179"/>
      <c r="AM527" s="179"/>
      <c r="AN527" s="179"/>
      <c r="AO527" s="179"/>
    </row>
    <row r="528" spans="3:41" hidden="1" x14ac:dyDescent="0.2">
      <c r="C528" s="179" t="str">
        <f t="shared" ref="C528:D536" si="248">C169</f>
        <v>Special rate</v>
      </c>
      <c r="D528" s="179" t="str">
        <f t="shared" si="248"/>
        <v/>
      </c>
      <c r="E528" s="179"/>
      <c r="F528" s="179"/>
      <c r="G528" s="179">
        <f>G169*'WK3 - Notional GI Yr1 YIELD'!$D133</f>
        <v>0</v>
      </c>
      <c r="H528" s="179">
        <f>H169*'WK3 - Notional GI Yr1 YIELD'!$D133</f>
        <v>0</v>
      </c>
      <c r="I528" s="179">
        <f>I169*'WK3 - Notional GI Yr1 YIELD'!$D133</f>
        <v>0</v>
      </c>
      <c r="J528" s="179">
        <f>J169*'WK3 - Notional GI Yr1 YIELD'!$D133</f>
        <v>0</v>
      </c>
      <c r="K528" s="179">
        <f>K169*'WK3 - Notional GI Yr1 YIELD'!$D133</f>
        <v>0</v>
      </c>
      <c r="L528" s="179">
        <f>L169*'WK3 - Notional GI Yr1 YIELD'!$D133</f>
        <v>0</v>
      </c>
      <c r="M528" s="179"/>
      <c r="N528" s="179"/>
      <c r="O528" s="179"/>
      <c r="P528" s="179"/>
      <c r="Q528" s="179"/>
      <c r="R528" s="179"/>
      <c r="S528" s="179"/>
      <c r="T528" s="179"/>
      <c r="U528" s="179"/>
      <c r="V528" s="179"/>
      <c r="W528" s="179"/>
      <c r="X528" s="179"/>
      <c r="Y528" s="179"/>
      <c r="Z528" s="179"/>
      <c r="AA528" s="179"/>
      <c r="AB528" s="179"/>
      <c r="AC528" s="179"/>
      <c r="AD528" s="179"/>
      <c r="AE528" s="179"/>
      <c r="AF528" s="179"/>
      <c r="AG528" s="179"/>
      <c r="AH528" s="179"/>
      <c r="AI528" s="179"/>
      <c r="AJ528" s="179"/>
      <c r="AK528" s="179"/>
      <c r="AL528" s="179"/>
      <c r="AM528" s="179"/>
      <c r="AN528" s="179"/>
      <c r="AO528" s="179"/>
    </row>
    <row r="529" spans="2:41" hidden="1" x14ac:dyDescent="0.2">
      <c r="C529" s="179" t="str">
        <f t="shared" si="248"/>
        <v>Special rate</v>
      </c>
      <c r="D529" s="179" t="str">
        <f t="shared" si="248"/>
        <v/>
      </c>
      <c r="E529" s="179"/>
      <c r="F529" s="179"/>
      <c r="G529" s="179">
        <f>G170*'WK3 - Notional GI Yr1 YIELD'!$D134</f>
        <v>0</v>
      </c>
      <c r="H529" s="179">
        <f>H170*'WK3 - Notional GI Yr1 YIELD'!$D134</f>
        <v>0</v>
      </c>
      <c r="I529" s="179">
        <f>I170*'WK3 - Notional GI Yr1 YIELD'!$D134</f>
        <v>0</v>
      </c>
      <c r="J529" s="179">
        <f>J170*'WK3 - Notional GI Yr1 YIELD'!$D134</f>
        <v>0</v>
      </c>
      <c r="K529" s="179">
        <f>K170*'WK3 - Notional GI Yr1 YIELD'!$D134</f>
        <v>0</v>
      </c>
      <c r="L529" s="179">
        <f>L170*'WK3 - Notional GI Yr1 YIELD'!$D134</f>
        <v>0</v>
      </c>
      <c r="M529" s="179"/>
      <c r="N529" s="179"/>
      <c r="O529" s="179"/>
      <c r="P529" s="179"/>
      <c r="Q529" s="179"/>
      <c r="R529" s="179"/>
      <c r="S529" s="179"/>
      <c r="T529" s="179"/>
      <c r="U529" s="179"/>
      <c r="V529" s="179"/>
      <c r="W529" s="179"/>
      <c r="X529" s="179"/>
      <c r="Y529" s="179"/>
      <c r="Z529" s="179"/>
      <c r="AA529" s="179"/>
      <c r="AB529" s="179"/>
      <c r="AC529" s="179"/>
      <c r="AD529" s="179"/>
      <c r="AE529" s="179"/>
      <c r="AF529" s="179"/>
      <c r="AG529" s="179"/>
      <c r="AH529" s="179"/>
      <c r="AI529" s="179"/>
      <c r="AJ529" s="179"/>
      <c r="AK529" s="179"/>
      <c r="AL529" s="179"/>
      <c r="AM529" s="179"/>
      <c r="AN529" s="179"/>
      <c r="AO529" s="179"/>
    </row>
    <row r="530" spans="2:41" hidden="1" x14ac:dyDescent="0.2">
      <c r="C530" s="179" t="str">
        <f t="shared" si="248"/>
        <v>Special rate</v>
      </c>
      <c r="D530" s="179" t="str">
        <f t="shared" si="248"/>
        <v/>
      </c>
      <c r="E530" s="179"/>
      <c r="F530" s="179"/>
      <c r="G530" s="179">
        <f>G171*'WK3 - Notional GI Yr1 YIELD'!$D135</f>
        <v>0</v>
      </c>
      <c r="H530" s="179">
        <f>H171*'WK3 - Notional GI Yr1 YIELD'!$D135</f>
        <v>0</v>
      </c>
      <c r="I530" s="179">
        <f>I171*'WK3 - Notional GI Yr1 YIELD'!$D135</f>
        <v>0</v>
      </c>
      <c r="J530" s="179">
        <f>J171*'WK3 - Notional GI Yr1 YIELD'!$D135</f>
        <v>0</v>
      </c>
      <c r="K530" s="179">
        <f>K171*'WK3 - Notional GI Yr1 YIELD'!$D135</f>
        <v>0</v>
      </c>
      <c r="L530" s="179">
        <f>L171*'WK3 - Notional GI Yr1 YIELD'!$D135</f>
        <v>0</v>
      </c>
      <c r="M530" s="179"/>
      <c r="N530" s="179"/>
      <c r="O530" s="179"/>
      <c r="P530" s="179"/>
      <c r="Q530" s="179"/>
      <c r="R530" s="179"/>
      <c r="S530" s="179"/>
      <c r="T530" s="179"/>
      <c r="U530" s="179"/>
      <c r="V530" s="179"/>
      <c r="W530" s="179"/>
      <c r="X530" s="179"/>
      <c r="Y530" s="179"/>
      <c r="Z530" s="179"/>
      <c r="AA530" s="179"/>
      <c r="AB530" s="179"/>
      <c r="AC530" s="179"/>
      <c r="AD530" s="179"/>
      <c r="AE530" s="179"/>
      <c r="AF530" s="179"/>
      <c r="AG530" s="179"/>
      <c r="AH530" s="179"/>
      <c r="AI530" s="179"/>
      <c r="AJ530" s="179"/>
      <c r="AK530" s="179"/>
      <c r="AL530" s="179"/>
      <c r="AM530" s="179"/>
      <c r="AN530" s="179"/>
      <c r="AO530" s="179"/>
    </row>
    <row r="531" spans="2:41" hidden="1" x14ac:dyDescent="0.2">
      <c r="C531" s="179" t="str">
        <f t="shared" si="248"/>
        <v>Special rate</v>
      </c>
      <c r="D531" s="179" t="str">
        <f t="shared" si="248"/>
        <v/>
      </c>
      <c r="E531" s="179"/>
      <c r="F531" s="179"/>
      <c r="G531" s="179">
        <f>G172*'WK3 - Notional GI Yr1 YIELD'!$D136</f>
        <v>0</v>
      </c>
      <c r="H531" s="179">
        <f>H172*'WK3 - Notional GI Yr1 YIELD'!$D136</f>
        <v>0</v>
      </c>
      <c r="I531" s="179">
        <f>I172*'WK3 - Notional GI Yr1 YIELD'!$D136</f>
        <v>0</v>
      </c>
      <c r="J531" s="179">
        <f>J172*'WK3 - Notional GI Yr1 YIELD'!$D136</f>
        <v>0</v>
      </c>
      <c r="K531" s="179">
        <f>K172*'WK3 - Notional GI Yr1 YIELD'!$D136</f>
        <v>0</v>
      </c>
      <c r="L531" s="179">
        <f>L172*'WK3 - Notional GI Yr1 YIELD'!$D136</f>
        <v>0</v>
      </c>
      <c r="M531" s="179"/>
      <c r="N531" s="179"/>
      <c r="O531" s="179"/>
      <c r="P531" s="179"/>
      <c r="Q531" s="179"/>
      <c r="R531" s="179"/>
      <c r="S531" s="179"/>
      <c r="T531" s="179"/>
      <c r="U531" s="179"/>
      <c r="V531" s="179"/>
      <c r="W531" s="179"/>
      <c r="X531" s="179"/>
      <c r="Y531" s="179"/>
      <c r="Z531" s="179"/>
      <c r="AA531" s="179"/>
      <c r="AB531" s="179"/>
      <c r="AC531" s="179"/>
      <c r="AD531" s="179"/>
      <c r="AE531" s="179"/>
      <c r="AF531" s="179"/>
      <c r="AG531" s="179"/>
      <c r="AH531" s="179"/>
      <c r="AI531" s="179"/>
      <c r="AJ531" s="179"/>
      <c r="AK531" s="179"/>
      <c r="AL531" s="179"/>
      <c r="AM531" s="179"/>
      <c r="AN531" s="179"/>
      <c r="AO531" s="179"/>
    </row>
    <row r="532" spans="2:41" hidden="1" x14ac:dyDescent="0.2">
      <c r="C532" s="179" t="str">
        <f t="shared" si="248"/>
        <v>Special rate</v>
      </c>
      <c r="D532" s="179" t="str">
        <f t="shared" si="248"/>
        <v/>
      </c>
      <c r="E532" s="179"/>
      <c r="F532" s="179"/>
      <c r="G532" s="179">
        <f>G173*'WK3 - Notional GI Yr1 YIELD'!$D137</f>
        <v>0</v>
      </c>
      <c r="H532" s="179">
        <f>H173*'WK3 - Notional GI Yr1 YIELD'!$D137</f>
        <v>0</v>
      </c>
      <c r="I532" s="179">
        <f>I173*'WK3 - Notional GI Yr1 YIELD'!$D137</f>
        <v>0</v>
      </c>
      <c r="J532" s="179">
        <f>J173*'WK3 - Notional GI Yr1 YIELD'!$D137</f>
        <v>0</v>
      </c>
      <c r="K532" s="179">
        <f>K173*'WK3 - Notional GI Yr1 YIELD'!$D137</f>
        <v>0</v>
      </c>
      <c r="L532" s="179">
        <f>L173*'WK3 - Notional GI Yr1 YIELD'!$D137</f>
        <v>0</v>
      </c>
      <c r="M532" s="179"/>
      <c r="N532" s="179"/>
      <c r="O532" s="179"/>
      <c r="P532" s="179"/>
      <c r="Q532" s="179"/>
      <c r="R532" s="179"/>
      <c r="S532" s="179"/>
      <c r="T532" s="179"/>
      <c r="U532" s="179"/>
      <c r="V532" s="179"/>
      <c r="W532" s="179"/>
      <c r="X532" s="179"/>
      <c r="Y532" s="179"/>
      <c r="Z532" s="179"/>
      <c r="AA532" s="179"/>
      <c r="AB532" s="179"/>
      <c r="AC532" s="179"/>
      <c r="AD532" s="179"/>
      <c r="AE532" s="179"/>
      <c r="AF532" s="179"/>
      <c r="AG532" s="179"/>
      <c r="AH532" s="179"/>
      <c r="AI532" s="179"/>
      <c r="AJ532" s="179"/>
      <c r="AK532" s="179"/>
      <c r="AL532" s="179"/>
      <c r="AM532" s="179"/>
      <c r="AN532" s="179"/>
      <c r="AO532" s="179"/>
    </row>
    <row r="533" spans="2:41" hidden="1" x14ac:dyDescent="0.2">
      <c r="C533" s="179" t="str">
        <f t="shared" si="248"/>
        <v>Special rate</v>
      </c>
      <c r="D533" s="179" t="str">
        <f t="shared" si="248"/>
        <v/>
      </c>
      <c r="E533" s="179"/>
      <c r="F533" s="179"/>
      <c r="G533" s="179">
        <f>G174*'WK3 - Notional GI Yr1 YIELD'!$D138</f>
        <v>0</v>
      </c>
      <c r="H533" s="179">
        <f>H174*'WK3 - Notional GI Yr1 YIELD'!$D138</f>
        <v>0</v>
      </c>
      <c r="I533" s="179">
        <f>I174*'WK3 - Notional GI Yr1 YIELD'!$D138</f>
        <v>0</v>
      </c>
      <c r="J533" s="179">
        <f>J174*'WK3 - Notional GI Yr1 YIELD'!$D138</f>
        <v>0</v>
      </c>
      <c r="K533" s="179">
        <f>K174*'WK3 - Notional GI Yr1 YIELD'!$D138</f>
        <v>0</v>
      </c>
      <c r="L533" s="179">
        <f>L174*'WK3 - Notional GI Yr1 YIELD'!$D138</f>
        <v>0</v>
      </c>
      <c r="M533" s="179"/>
      <c r="N533" s="179"/>
      <c r="O533" s="179"/>
      <c r="P533" s="179"/>
      <c r="Q533" s="179"/>
      <c r="R533" s="179"/>
      <c r="S533" s="179"/>
      <c r="T533" s="179"/>
      <c r="U533" s="179"/>
      <c r="V533" s="179"/>
      <c r="W533" s="179"/>
      <c r="X533" s="179"/>
      <c r="Y533" s="179"/>
      <c r="Z533" s="179"/>
      <c r="AA533" s="179"/>
      <c r="AB533" s="179"/>
      <c r="AC533" s="179"/>
      <c r="AD533" s="179"/>
      <c r="AE533" s="179"/>
      <c r="AF533" s="179"/>
      <c r="AG533" s="179"/>
      <c r="AH533" s="179"/>
      <c r="AI533" s="179"/>
      <c r="AJ533" s="179"/>
      <c r="AK533" s="179"/>
      <c r="AL533" s="179"/>
      <c r="AM533" s="179"/>
      <c r="AN533" s="179"/>
      <c r="AO533" s="179"/>
    </row>
    <row r="534" spans="2:41" hidden="1" x14ac:dyDescent="0.2">
      <c r="C534" s="179" t="str">
        <f t="shared" si="248"/>
        <v>Special rate</v>
      </c>
      <c r="D534" s="179" t="str">
        <f t="shared" si="248"/>
        <v/>
      </c>
      <c r="E534" s="179"/>
      <c r="F534" s="179"/>
      <c r="G534" s="179">
        <f>G175*'WK3 - Notional GI Yr1 YIELD'!$D139</f>
        <v>0</v>
      </c>
      <c r="H534" s="179">
        <f>H175*'WK3 - Notional GI Yr1 YIELD'!$D139</f>
        <v>0</v>
      </c>
      <c r="I534" s="179">
        <f>I175*'WK3 - Notional GI Yr1 YIELD'!$D139</f>
        <v>0</v>
      </c>
      <c r="J534" s="179">
        <f>J175*'WK3 - Notional GI Yr1 YIELD'!$D139</f>
        <v>0</v>
      </c>
      <c r="K534" s="179">
        <f>K175*'WK3 - Notional GI Yr1 YIELD'!$D139</f>
        <v>0</v>
      </c>
      <c r="L534" s="179">
        <f>L175*'WK3 - Notional GI Yr1 YIELD'!$D139</f>
        <v>0</v>
      </c>
      <c r="M534" s="179"/>
      <c r="N534" s="179"/>
      <c r="O534" s="179"/>
      <c r="P534" s="179"/>
      <c r="Q534" s="179"/>
      <c r="R534" s="179"/>
      <c r="S534" s="179"/>
      <c r="T534" s="179"/>
      <c r="U534" s="179"/>
      <c r="V534" s="179"/>
      <c r="W534" s="179"/>
      <c r="X534" s="179"/>
      <c r="Y534" s="179"/>
      <c r="Z534" s="179"/>
      <c r="AA534" s="179"/>
      <c r="AB534" s="179"/>
      <c r="AC534" s="179"/>
      <c r="AD534" s="179"/>
      <c r="AE534" s="179"/>
      <c r="AF534" s="179"/>
      <c r="AG534" s="179"/>
      <c r="AH534" s="179"/>
      <c r="AI534" s="179"/>
      <c r="AJ534" s="179"/>
      <c r="AK534" s="179"/>
      <c r="AL534" s="179"/>
      <c r="AM534" s="179"/>
      <c r="AN534" s="179"/>
      <c r="AO534" s="179"/>
    </row>
    <row r="535" spans="2:41" hidden="1" x14ac:dyDescent="0.2">
      <c r="C535" s="179" t="str">
        <f t="shared" si="248"/>
        <v>Special rate</v>
      </c>
      <c r="D535" s="179" t="str">
        <f t="shared" si="248"/>
        <v/>
      </c>
      <c r="E535" s="179"/>
      <c r="F535" s="179"/>
      <c r="G535" s="179">
        <f>G176*'WK3 - Notional GI Yr1 YIELD'!$D140</f>
        <v>0</v>
      </c>
      <c r="H535" s="179">
        <f>H176*'WK3 - Notional GI Yr1 YIELD'!$D140</f>
        <v>0</v>
      </c>
      <c r="I535" s="179">
        <f>I176*'WK3 - Notional GI Yr1 YIELD'!$D140</f>
        <v>0</v>
      </c>
      <c r="J535" s="179">
        <f>J176*'WK3 - Notional GI Yr1 YIELD'!$D140</f>
        <v>0</v>
      </c>
      <c r="K535" s="179">
        <f>K176*'WK3 - Notional GI Yr1 YIELD'!$D140</f>
        <v>0</v>
      </c>
      <c r="L535" s="179">
        <f>L176*'WK3 - Notional GI Yr1 YIELD'!$D140</f>
        <v>0</v>
      </c>
      <c r="M535" s="179"/>
      <c r="N535" s="179"/>
      <c r="O535" s="179"/>
      <c r="P535" s="179"/>
      <c r="Q535" s="179"/>
      <c r="R535" s="179"/>
      <c r="S535" s="179"/>
      <c r="T535" s="179"/>
      <c r="U535" s="179"/>
      <c r="V535" s="179"/>
      <c r="W535" s="179"/>
      <c r="X535" s="179"/>
      <c r="Y535" s="179"/>
      <c r="Z535" s="179"/>
      <c r="AA535" s="179"/>
      <c r="AB535" s="179"/>
      <c r="AC535" s="179"/>
      <c r="AD535" s="179"/>
      <c r="AE535" s="179"/>
      <c r="AF535" s="179"/>
      <c r="AG535" s="179"/>
      <c r="AH535" s="179"/>
      <c r="AI535" s="179"/>
      <c r="AJ535" s="179"/>
      <c r="AK535" s="179"/>
      <c r="AL535" s="179"/>
      <c r="AM535" s="179"/>
      <c r="AN535" s="179"/>
      <c r="AO535" s="179"/>
    </row>
    <row r="536" spans="2:41" hidden="1" x14ac:dyDescent="0.2">
      <c r="C536" s="179" t="str">
        <f t="shared" si="248"/>
        <v>Special rate</v>
      </c>
      <c r="D536" s="179" t="str">
        <f t="shared" si="248"/>
        <v/>
      </c>
      <c r="E536" s="179"/>
      <c r="F536" s="179"/>
      <c r="G536" s="179">
        <f>G177*'WK3 - Notional GI Yr1 YIELD'!$D141</f>
        <v>0</v>
      </c>
      <c r="H536" s="179">
        <f>H177*'WK3 - Notional GI Yr1 YIELD'!$D141</f>
        <v>0</v>
      </c>
      <c r="I536" s="179">
        <f>I177*'WK3 - Notional GI Yr1 YIELD'!$D141</f>
        <v>0</v>
      </c>
      <c r="J536" s="179">
        <f>J177*'WK3 - Notional GI Yr1 YIELD'!$D141</f>
        <v>0</v>
      </c>
      <c r="K536" s="179">
        <f>K177*'WK3 - Notional GI Yr1 YIELD'!$D141</f>
        <v>0</v>
      </c>
      <c r="L536" s="179">
        <f>L177*'WK3 - Notional GI Yr1 YIELD'!$D141</f>
        <v>0</v>
      </c>
      <c r="M536" s="179"/>
      <c r="N536" s="179"/>
      <c r="O536" s="179"/>
      <c r="P536" s="179"/>
      <c r="Q536" s="179"/>
      <c r="R536" s="179"/>
      <c r="S536" s="179"/>
      <c r="T536" s="179"/>
      <c r="U536" s="179"/>
      <c r="V536" s="179"/>
      <c r="W536" s="179"/>
      <c r="X536" s="179"/>
      <c r="Y536" s="179"/>
      <c r="Z536" s="179"/>
      <c r="AA536" s="179"/>
      <c r="AB536" s="179"/>
      <c r="AC536" s="179"/>
      <c r="AD536" s="179"/>
      <c r="AE536" s="179"/>
      <c r="AF536" s="179"/>
      <c r="AG536" s="179"/>
      <c r="AH536" s="179"/>
      <c r="AI536" s="179"/>
      <c r="AJ536" s="179"/>
      <c r="AK536" s="179"/>
      <c r="AL536" s="179"/>
      <c r="AM536" s="179"/>
      <c r="AN536" s="179"/>
      <c r="AO536" s="179"/>
    </row>
    <row r="537" spans="2:41" s="162" customFormat="1" ht="12" hidden="1" x14ac:dyDescent="0.25">
      <c r="C537" s="656"/>
      <c r="D537" s="656" t="s">
        <v>474</v>
      </c>
      <c r="E537" s="656"/>
      <c r="F537" s="656"/>
      <c r="G537" s="656">
        <f t="shared" ref="G537:L537" si="249">SUM(G517:G536)</f>
        <v>0</v>
      </c>
      <c r="H537" s="656">
        <f t="shared" si="249"/>
        <v>0</v>
      </c>
      <c r="I537" s="656">
        <f t="shared" si="249"/>
        <v>0</v>
      </c>
      <c r="J537" s="656">
        <f t="shared" si="249"/>
        <v>0</v>
      </c>
      <c r="K537" s="656">
        <f t="shared" si="249"/>
        <v>0</v>
      </c>
      <c r="L537" s="656">
        <f t="shared" si="249"/>
        <v>0</v>
      </c>
      <c r="M537" s="656"/>
      <c r="N537" s="656"/>
      <c r="O537" s="656"/>
      <c r="P537" s="656"/>
      <c r="Q537" s="656"/>
      <c r="R537" s="656"/>
      <c r="S537" s="656"/>
      <c r="T537" s="656"/>
      <c r="U537" s="656"/>
      <c r="V537" s="656"/>
      <c r="W537" s="656"/>
      <c r="X537" s="656"/>
      <c r="Y537" s="656"/>
      <c r="Z537" s="656"/>
      <c r="AA537" s="656"/>
      <c r="AB537" s="656"/>
      <c r="AC537" s="656"/>
      <c r="AD537" s="656"/>
      <c r="AE537" s="656"/>
      <c r="AF537" s="656"/>
      <c r="AG537" s="656"/>
      <c r="AH537" s="656"/>
      <c r="AI537" s="656"/>
      <c r="AJ537" s="656"/>
      <c r="AK537" s="656"/>
      <c r="AL537" s="656"/>
      <c r="AM537" s="656"/>
      <c r="AN537" s="656"/>
      <c r="AO537" s="656"/>
    </row>
    <row r="538" spans="2:41" hidden="1" x14ac:dyDescent="0.2">
      <c r="C538" s="179"/>
      <c r="D538" s="179"/>
      <c r="E538" s="179"/>
      <c r="F538" s="179"/>
      <c r="G538" s="179"/>
      <c r="H538" s="179"/>
      <c r="I538" s="179"/>
      <c r="J538" s="179"/>
      <c r="K538" s="179"/>
      <c r="L538" s="179"/>
      <c r="M538" s="179"/>
      <c r="N538" s="179"/>
      <c r="O538" s="179"/>
      <c r="P538" s="179"/>
      <c r="Q538" s="179"/>
      <c r="R538" s="179"/>
      <c r="S538" s="179"/>
      <c r="T538" s="179"/>
      <c r="U538" s="179"/>
      <c r="V538" s="179"/>
      <c r="W538" s="179"/>
      <c r="X538" s="179"/>
      <c r="Y538" s="179"/>
      <c r="Z538" s="179"/>
      <c r="AA538" s="179"/>
      <c r="AB538" s="179"/>
      <c r="AC538" s="179"/>
      <c r="AD538" s="179"/>
      <c r="AE538" s="179"/>
      <c r="AF538" s="179"/>
      <c r="AG538" s="179"/>
      <c r="AH538" s="179"/>
      <c r="AI538" s="179"/>
      <c r="AJ538" s="179"/>
      <c r="AK538" s="179"/>
      <c r="AL538" s="179"/>
      <c r="AM538" s="179"/>
      <c r="AN538" s="179"/>
      <c r="AO538" s="179"/>
    </row>
    <row r="539" spans="2:41" ht="12" hidden="1" x14ac:dyDescent="0.25">
      <c r="B539" s="163" t="s">
        <v>450</v>
      </c>
      <c r="C539" s="179"/>
      <c r="D539" s="179"/>
      <c r="E539" s="179"/>
      <c r="F539" s="179"/>
      <c r="G539" s="179"/>
      <c r="H539" s="179"/>
      <c r="I539" s="179"/>
      <c r="J539" s="179"/>
      <c r="K539" s="179"/>
      <c r="L539" s="179"/>
      <c r="M539" s="179"/>
      <c r="N539" s="179"/>
      <c r="O539" s="179"/>
      <c r="P539" s="179"/>
      <c r="Q539" s="179"/>
      <c r="R539" s="179"/>
      <c r="S539" s="179"/>
      <c r="T539" s="179"/>
      <c r="U539" s="179"/>
      <c r="V539" s="179"/>
      <c r="W539" s="179"/>
      <c r="X539" s="179"/>
      <c r="Y539" s="179"/>
      <c r="Z539" s="179"/>
      <c r="AA539" s="179"/>
      <c r="AB539" s="179"/>
      <c r="AC539" s="179"/>
      <c r="AD539" s="179"/>
      <c r="AE539" s="179"/>
      <c r="AF539" s="179"/>
      <c r="AG539" s="179"/>
      <c r="AH539" s="179"/>
      <c r="AI539" s="179"/>
      <c r="AJ539" s="179"/>
      <c r="AK539" s="179"/>
      <c r="AL539" s="179"/>
      <c r="AM539" s="179"/>
      <c r="AN539" s="179"/>
      <c r="AO539" s="179"/>
    </row>
    <row r="540" spans="2:41" hidden="1" x14ac:dyDescent="0.2">
      <c r="C540" s="179"/>
      <c r="D540" s="179"/>
      <c r="E540" s="657" t="str">
        <f t="shared" ref="E540:L540" si="250">E418</f>
        <v>2017-18</v>
      </c>
      <c r="F540" s="657" t="str">
        <f t="shared" si="250"/>
        <v>2018-19</v>
      </c>
      <c r="G540" s="657" t="str">
        <f t="shared" si="250"/>
        <v>2019-20</v>
      </c>
      <c r="H540" s="657" t="str">
        <f t="shared" si="250"/>
        <v>2020-21</v>
      </c>
      <c r="I540" s="657" t="str">
        <f t="shared" si="250"/>
        <v>2021-22</v>
      </c>
      <c r="J540" s="657" t="str">
        <f t="shared" si="250"/>
        <v>2022-23</v>
      </c>
      <c r="K540" s="657" t="str">
        <f t="shared" si="250"/>
        <v>2023-24</v>
      </c>
      <c r="L540" s="657" t="str">
        <f t="shared" si="250"/>
        <v>2024-25</v>
      </c>
      <c r="M540" s="179"/>
      <c r="N540" s="179"/>
      <c r="O540" s="179"/>
      <c r="P540" s="179"/>
      <c r="Q540" s="179"/>
      <c r="R540" s="179"/>
      <c r="S540" s="179"/>
      <c r="T540" s="179"/>
      <c r="U540" s="179"/>
      <c r="V540" s="179"/>
      <c r="W540" s="179"/>
      <c r="X540" s="179"/>
      <c r="Y540" s="179"/>
      <c r="Z540" s="179"/>
      <c r="AA540" s="179"/>
      <c r="AB540" s="179"/>
      <c r="AC540" s="179"/>
      <c r="AD540" s="179"/>
      <c r="AE540" s="179"/>
      <c r="AF540" s="179"/>
      <c r="AG540" s="179"/>
      <c r="AH540" s="179"/>
      <c r="AI540" s="179"/>
      <c r="AJ540" s="179"/>
      <c r="AK540" s="179"/>
      <c r="AL540" s="179"/>
      <c r="AM540" s="179"/>
      <c r="AN540" s="179"/>
      <c r="AO540" s="179"/>
    </row>
    <row r="541" spans="2:41" hidden="1" x14ac:dyDescent="0.2">
      <c r="C541" s="179" t="str">
        <f>C184</f>
        <v>Category</v>
      </c>
      <c r="D541" s="179" t="str">
        <f>D184</f>
        <v>Sub-category or Special Rate name</v>
      </c>
      <c r="E541" s="179"/>
      <c r="F541" s="179"/>
      <c r="G541" s="179"/>
      <c r="H541" s="179"/>
      <c r="I541" s="179"/>
      <c r="J541" s="179"/>
      <c r="K541" s="179"/>
      <c r="L541" s="179"/>
      <c r="M541" s="179"/>
      <c r="N541" s="179"/>
      <c r="O541" s="179"/>
      <c r="P541" s="179"/>
      <c r="Q541" s="179"/>
      <c r="R541" s="179"/>
      <c r="S541" s="179"/>
      <c r="T541" s="179"/>
      <c r="U541" s="179"/>
      <c r="V541" s="179"/>
      <c r="W541" s="179"/>
      <c r="X541" s="179"/>
      <c r="Y541" s="179"/>
      <c r="Z541" s="179"/>
      <c r="AA541" s="179"/>
      <c r="AB541" s="179"/>
      <c r="AC541" s="179"/>
      <c r="AD541" s="179"/>
      <c r="AE541" s="179"/>
      <c r="AF541" s="179"/>
      <c r="AG541" s="179"/>
      <c r="AH541" s="179"/>
      <c r="AI541" s="179"/>
      <c r="AJ541" s="179"/>
      <c r="AK541" s="179"/>
      <c r="AL541" s="179"/>
      <c r="AM541" s="179"/>
      <c r="AN541" s="179"/>
      <c r="AO541" s="179"/>
    </row>
    <row r="542" spans="2:41" hidden="1" x14ac:dyDescent="0.2">
      <c r="C542" s="179"/>
      <c r="D542" s="179"/>
      <c r="E542" s="179"/>
      <c r="F542" s="179"/>
      <c r="G542" s="179"/>
      <c r="H542" s="179"/>
      <c r="I542" s="179"/>
      <c r="J542" s="179"/>
      <c r="K542" s="179"/>
      <c r="L542" s="179"/>
      <c r="M542" s="179"/>
      <c r="N542" s="179"/>
      <c r="O542" s="179"/>
      <c r="P542" s="179"/>
      <c r="Q542" s="179"/>
      <c r="R542" s="179"/>
      <c r="S542" s="179"/>
      <c r="T542" s="179"/>
      <c r="U542" s="179"/>
      <c r="V542" s="179"/>
      <c r="W542" s="179"/>
      <c r="X542" s="179"/>
      <c r="Y542" s="179"/>
      <c r="Z542" s="179"/>
      <c r="AA542" s="179"/>
      <c r="AB542" s="179"/>
      <c r="AC542" s="179"/>
      <c r="AD542" s="179"/>
      <c r="AE542" s="179"/>
      <c r="AF542" s="179"/>
      <c r="AG542" s="179"/>
      <c r="AH542" s="179"/>
      <c r="AI542" s="179"/>
      <c r="AJ542" s="179"/>
      <c r="AK542" s="179"/>
      <c r="AL542" s="179"/>
      <c r="AM542" s="179"/>
      <c r="AN542" s="179"/>
      <c r="AO542" s="179"/>
    </row>
    <row r="543" spans="2:41" hidden="1" x14ac:dyDescent="0.2">
      <c r="C543" s="179" t="str">
        <f t="shared" ref="C543:D570" si="251">C186</f>
        <v>Residential</v>
      </c>
      <c r="D543" s="179" t="str">
        <f t="shared" si="251"/>
        <v>Urban/Village</v>
      </c>
      <c r="E543" s="179"/>
      <c r="F543" s="179">
        <f>F186*'WK3 - Notional GI Yr1 YIELD'!$D14</f>
        <v>15001143.814981895</v>
      </c>
      <c r="G543" s="179">
        <f>G186*'WK3 - Notional GI Yr1 YIELD'!$D14</f>
        <v>15376172.41035644</v>
      </c>
      <c r="H543" s="179">
        <f>H186*'WK3 - Notional GI Yr1 YIELD'!$D14</f>
        <v>15760576.72061535</v>
      </c>
      <c r="I543" s="179">
        <f>I186*'WK3 - Notional GI Yr1 YIELD'!$D14</f>
        <v>16154591.138630731</v>
      </c>
      <c r="J543" s="179">
        <f>J186*'WK3 - Notional GI Yr1 YIELD'!$D14</f>
        <v>16558455.917096499</v>
      </c>
      <c r="K543" s="179">
        <f>K186*'WK3 - Notional GI Yr1 YIELD'!$D14</f>
        <v>0</v>
      </c>
      <c r="L543" s="179">
        <f>L186*'WK3 - Notional GI Yr1 YIELD'!$D14</f>
        <v>0</v>
      </c>
      <c r="M543" s="179"/>
      <c r="N543" s="179"/>
      <c r="O543" s="179"/>
      <c r="P543" s="179"/>
      <c r="Q543" s="179"/>
      <c r="R543" s="179"/>
      <c r="S543" s="179"/>
      <c r="T543" s="179"/>
      <c r="U543" s="179"/>
      <c r="V543" s="179"/>
      <c r="W543" s="179"/>
      <c r="X543" s="179"/>
      <c r="Y543" s="179"/>
      <c r="Z543" s="179"/>
      <c r="AA543" s="179"/>
      <c r="AB543" s="179"/>
      <c r="AC543" s="179"/>
      <c r="AD543" s="179"/>
      <c r="AE543" s="179"/>
      <c r="AF543" s="179"/>
      <c r="AG543" s="179"/>
      <c r="AH543" s="179"/>
      <c r="AI543" s="179"/>
      <c r="AJ543" s="179"/>
      <c r="AK543" s="179"/>
      <c r="AL543" s="179"/>
      <c r="AM543" s="179"/>
      <c r="AN543" s="179"/>
      <c r="AO543" s="179"/>
    </row>
    <row r="544" spans="2:41" hidden="1" x14ac:dyDescent="0.2">
      <c r="C544" s="179" t="str">
        <f t="shared" si="251"/>
        <v>Residential</v>
      </c>
      <c r="D544" s="179" t="str">
        <f t="shared" ref="D544:D562" si="252">D187</f>
        <v>Rural</v>
      </c>
      <c r="E544" s="179"/>
      <c r="F544" s="179">
        <f>F187*'WK3 - Notional GI Yr1 YIELD'!$D15</f>
        <v>4431394.1091129603</v>
      </c>
      <c r="G544" s="179">
        <f>G187*'WK3 - Notional GI Yr1 YIELD'!$D15</f>
        <v>4542178.9618407832</v>
      </c>
      <c r="H544" s="179">
        <f>H187*'WK3 - Notional GI Yr1 YIELD'!$D15</f>
        <v>4655733.4358868031</v>
      </c>
      <c r="I544" s="179">
        <f>I187*'WK3 - Notional GI Yr1 YIELD'!$D15</f>
        <v>4772126.7717839722</v>
      </c>
      <c r="J544" s="179">
        <f>J187*'WK3 - Notional GI Yr1 YIELD'!$D15</f>
        <v>4891429.9410785716</v>
      </c>
      <c r="K544" s="179">
        <f>K187*'WK3 - Notional GI Yr1 YIELD'!$D15</f>
        <v>0</v>
      </c>
      <c r="L544" s="179">
        <f>L187*'WK3 - Notional GI Yr1 YIELD'!$D15</f>
        <v>0</v>
      </c>
      <c r="M544" s="179"/>
      <c r="N544" s="179"/>
      <c r="O544" s="179"/>
      <c r="P544" s="179"/>
      <c r="Q544" s="179"/>
      <c r="R544" s="179"/>
      <c r="S544" s="179"/>
      <c r="T544" s="179"/>
      <c r="U544" s="179"/>
      <c r="V544" s="179"/>
      <c r="W544" s="179"/>
      <c r="X544" s="179"/>
      <c r="Y544" s="179"/>
      <c r="Z544" s="179"/>
      <c r="AA544" s="179"/>
      <c r="AB544" s="179"/>
      <c r="AC544" s="179"/>
      <c r="AD544" s="179"/>
      <c r="AE544" s="179"/>
      <c r="AF544" s="179"/>
      <c r="AG544" s="179"/>
      <c r="AH544" s="179"/>
      <c r="AI544" s="179"/>
      <c r="AJ544" s="179"/>
      <c r="AK544" s="179"/>
      <c r="AL544" s="179"/>
      <c r="AM544" s="179"/>
      <c r="AN544" s="179"/>
      <c r="AO544" s="179"/>
    </row>
    <row r="545" spans="3:41" hidden="1" x14ac:dyDescent="0.2">
      <c r="C545" s="179" t="str">
        <f t="shared" si="251"/>
        <v>Residential</v>
      </c>
      <c r="D545" s="179" t="str">
        <f t="shared" si="252"/>
        <v/>
      </c>
      <c r="E545" s="179"/>
      <c r="F545" s="179">
        <f>F188*'WK3 - Notional GI Yr1 YIELD'!$D16</f>
        <v>0</v>
      </c>
      <c r="G545" s="179">
        <f>G188*'WK3 - Notional GI Yr1 YIELD'!$D16</f>
        <v>0</v>
      </c>
      <c r="H545" s="179">
        <f>H188*'WK3 - Notional GI Yr1 YIELD'!$D16</f>
        <v>0</v>
      </c>
      <c r="I545" s="179">
        <f>I188*'WK3 - Notional GI Yr1 YIELD'!$D16</f>
        <v>0</v>
      </c>
      <c r="J545" s="179">
        <f>J188*'WK3 - Notional GI Yr1 YIELD'!$D16</f>
        <v>0</v>
      </c>
      <c r="K545" s="179">
        <f>K188*'WK3 - Notional GI Yr1 YIELD'!$D16</f>
        <v>0</v>
      </c>
      <c r="L545" s="179">
        <f>L188*'WK3 - Notional GI Yr1 YIELD'!$D16</f>
        <v>0</v>
      </c>
      <c r="M545" s="179"/>
      <c r="N545" s="179"/>
      <c r="O545" s="179"/>
      <c r="P545" s="179"/>
      <c r="Q545" s="179"/>
      <c r="R545" s="179"/>
      <c r="S545" s="179"/>
      <c r="T545" s="179"/>
      <c r="U545" s="179"/>
      <c r="V545" s="179"/>
      <c r="W545" s="179"/>
      <c r="X545" s="179"/>
      <c r="Y545" s="179"/>
      <c r="Z545" s="179"/>
      <c r="AA545" s="179"/>
      <c r="AB545" s="179"/>
      <c r="AC545" s="179"/>
      <c r="AD545" s="179"/>
      <c r="AE545" s="179"/>
      <c r="AF545" s="179"/>
      <c r="AG545" s="179"/>
      <c r="AH545" s="179"/>
      <c r="AI545" s="179"/>
      <c r="AJ545" s="179"/>
      <c r="AK545" s="179"/>
      <c r="AL545" s="179"/>
      <c r="AM545" s="179"/>
      <c r="AN545" s="179"/>
      <c r="AO545" s="179"/>
    </row>
    <row r="546" spans="3:41" hidden="1" x14ac:dyDescent="0.2">
      <c r="C546" s="179" t="str">
        <f t="shared" si="251"/>
        <v>Residential</v>
      </c>
      <c r="D546" s="179" t="str">
        <f t="shared" si="252"/>
        <v/>
      </c>
      <c r="E546" s="179"/>
      <c r="F546" s="179">
        <f>F189*'WK3 - Notional GI Yr1 YIELD'!$D17</f>
        <v>0</v>
      </c>
      <c r="G546" s="179">
        <f>G189*'WK3 - Notional GI Yr1 YIELD'!$D17</f>
        <v>0</v>
      </c>
      <c r="H546" s="179">
        <f>H189*'WK3 - Notional GI Yr1 YIELD'!$D17</f>
        <v>0</v>
      </c>
      <c r="I546" s="179">
        <f>I189*'WK3 - Notional GI Yr1 YIELD'!$D17</f>
        <v>0</v>
      </c>
      <c r="J546" s="179">
        <f>J189*'WK3 - Notional GI Yr1 YIELD'!$D17</f>
        <v>0</v>
      </c>
      <c r="K546" s="179">
        <f>K189*'WK3 - Notional GI Yr1 YIELD'!$D17</f>
        <v>0</v>
      </c>
      <c r="L546" s="179">
        <f>L189*'WK3 - Notional GI Yr1 YIELD'!$D17</f>
        <v>0</v>
      </c>
      <c r="M546" s="179"/>
      <c r="N546" s="179"/>
      <c r="O546" s="179"/>
      <c r="P546" s="179"/>
      <c r="Q546" s="179"/>
      <c r="R546" s="179"/>
      <c r="S546" s="179"/>
      <c r="T546" s="179"/>
      <c r="U546" s="179"/>
      <c r="V546" s="179"/>
      <c r="W546" s="179"/>
      <c r="X546" s="179"/>
      <c r="Y546" s="179"/>
      <c r="Z546" s="179"/>
      <c r="AA546" s="179"/>
      <c r="AB546" s="179"/>
      <c r="AC546" s="179"/>
      <c r="AD546" s="179"/>
      <c r="AE546" s="179"/>
      <c r="AF546" s="179"/>
      <c r="AG546" s="179"/>
      <c r="AH546" s="179"/>
      <c r="AI546" s="179"/>
      <c r="AJ546" s="179"/>
      <c r="AK546" s="179"/>
      <c r="AL546" s="179"/>
      <c r="AM546" s="179"/>
      <c r="AN546" s="179"/>
      <c r="AO546" s="179"/>
    </row>
    <row r="547" spans="3:41" hidden="1" x14ac:dyDescent="0.2">
      <c r="C547" s="179" t="str">
        <f t="shared" si="251"/>
        <v>Residential</v>
      </c>
      <c r="D547" s="179" t="str">
        <f t="shared" si="252"/>
        <v/>
      </c>
      <c r="E547" s="179"/>
      <c r="F547" s="179">
        <f>F190*'WK3 - Notional GI Yr1 YIELD'!$D18</f>
        <v>0</v>
      </c>
      <c r="G547" s="179">
        <f>G190*'WK3 - Notional GI Yr1 YIELD'!$D18</f>
        <v>0</v>
      </c>
      <c r="H547" s="179">
        <f>H190*'WK3 - Notional GI Yr1 YIELD'!$D18</f>
        <v>0</v>
      </c>
      <c r="I547" s="179">
        <f>I190*'WK3 - Notional GI Yr1 YIELD'!$D18</f>
        <v>0</v>
      </c>
      <c r="J547" s="179">
        <f>J190*'WK3 - Notional GI Yr1 YIELD'!$D18</f>
        <v>0</v>
      </c>
      <c r="K547" s="179">
        <f>K190*'WK3 - Notional GI Yr1 YIELD'!$D18</f>
        <v>0</v>
      </c>
      <c r="L547" s="179">
        <f>L190*'WK3 - Notional GI Yr1 YIELD'!$D18</f>
        <v>0</v>
      </c>
      <c r="M547" s="179"/>
      <c r="N547" s="179"/>
      <c r="O547" s="179"/>
      <c r="P547" s="179"/>
      <c r="Q547" s="179"/>
      <c r="R547" s="179"/>
      <c r="S547" s="179"/>
      <c r="T547" s="179"/>
      <c r="U547" s="179"/>
      <c r="V547" s="179"/>
      <c r="W547" s="179"/>
      <c r="X547" s="179"/>
      <c r="Y547" s="179"/>
      <c r="Z547" s="179"/>
      <c r="AA547" s="179"/>
      <c r="AB547" s="179"/>
      <c r="AC547" s="179"/>
      <c r="AD547" s="179"/>
      <c r="AE547" s="179"/>
      <c r="AF547" s="179"/>
      <c r="AG547" s="179"/>
      <c r="AH547" s="179"/>
      <c r="AI547" s="179"/>
      <c r="AJ547" s="179"/>
      <c r="AK547" s="179"/>
      <c r="AL547" s="179"/>
      <c r="AM547" s="179"/>
      <c r="AN547" s="179"/>
      <c r="AO547" s="179"/>
    </row>
    <row r="548" spans="3:41" hidden="1" x14ac:dyDescent="0.2">
      <c r="C548" s="179" t="str">
        <f t="shared" si="251"/>
        <v>Residential</v>
      </c>
      <c r="D548" s="179" t="str">
        <f t="shared" si="252"/>
        <v/>
      </c>
      <c r="E548" s="179"/>
      <c r="F548" s="179">
        <f>F191*'WK3 - Notional GI Yr1 YIELD'!$D19</f>
        <v>0</v>
      </c>
      <c r="G548" s="179">
        <f>G191*'WK3 - Notional GI Yr1 YIELD'!$D19</f>
        <v>0</v>
      </c>
      <c r="H548" s="179">
        <f>H191*'WK3 - Notional GI Yr1 YIELD'!$D19</f>
        <v>0</v>
      </c>
      <c r="I548" s="179">
        <f>I191*'WK3 - Notional GI Yr1 YIELD'!$D19</f>
        <v>0</v>
      </c>
      <c r="J548" s="179">
        <f>J191*'WK3 - Notional GI Yr1 YIELD'!$D19</f>
        <v>0</v>
      </c>
      <c r="K548" s="179">
        <f>K191*'WK3 - Notional GI Yr1 YIELD'!$D19</f>
        <v>0</v>
      </c>
      <c r="L548" s="179">
        <f>L191*'WK3 - Notional GI Yr1 YIELD'!$D19</f>
        <v>0</v>
      </c>
      <c r="M548" s="179"/>
      <c r="N548" s="179"/>
      <c r="O548" s="179"/>
      <c r="P548" s="179"/>
      <c r="Q548" s="179"/>
      <c r="R548" s="179"/>
      <c r="S548" s="179"/>
      <c r="T548" s="179"/>
      <c r="U548" s="179"/>
      <c r="V548" s="179"/>
      <c r="W548" s="179"/>
      <c r="X548" s="179"/>
      <c r="Y548" s="179"/>
      <c r="Z548" s="179"/>
      <c r="AA548" s="179"/>
      <c r="AB548" s="179"/>
      <c r="AC548" s="179"/>
      <c r="AD548" s="179"/>
      <c r="AE548" s="179"/>
      <c r="AF548" s="179"/>
      <c r="AG548" s="179"/>
      <c r="AH548" s="179"/>
      <c r="AI548" s="179"/>
      <c r="AJ548" s="179"/>
      <c r="AK548" s="179"/>
      <c r="AL548" s="179"/>
      <c r="AM548" s="179"/>
      <c r="AN548" s="179"/>
      <c r="AO548" s="179"/>
    </row>
    <row r="549" spans="3:41" hidden="1" x14ac:dyDescent="0.2">
      <c r="C549" s="179" t="str">
        <f t="shared" si="251"/>
        <v>Residential</v>
      </c>
      <c r="D549" s="179" t="str">
        <f t="shared" si="252"/>
        <v/>
      </c>
      <c r="E549" s="179"/>
      <c r="F549" s="179">
        <f>F192*'WK3 - Notional GI Yr1 YIELD'!$D20</f>
        <v>0</v>
      </c>
      <c r="G549" s="179">
        <f>G192*'WK3 - Notional GI Yr1 YIELD'!$D20</f>
        <v>0</v>
      </c>
      <c r="H549" s="179">
        <f>H192*'WK3 - Notional GI Yr1 YIELD'!$D20</f>
        <v>0</v>
      </c>
      <c r="I549" s="179">
        <f>I192*'WK3 - Notional GI Yr1 YIELD'!$D20</f>
        <v>0</v>
      </c>
      <c r="J549" s="179">
        <f>J192*'WK3 - Notional GI Yr1 YIELD'!$D20</f>
        <v>0</v>
      </c>
      <c r="K549" s="179">
        <f>K192*'WK3 - Notional GI Yr1 YIELD'!$D20</f>
        <v>0</v>
      </c>
      <c r="L549" s="179">
        <f>L192*'WK3 - Notional GI Yr1 YIELD'!$D20</f>
        <v>0</v>
      </c>
      <c r="M549" s="179"/>
      <c r="N549" s="179"/>
      <c r="O549" s="179"/>
      <c r="P549" s="179"/>
      <c r="Q549" s="179"/>
      <c r="R549" s="179"/>
      <c r="S549" s="179"/>
      <c r="T549" s="179"/>
      <c r="U549" s="179"/>
      <c r="V549" s="179"/>
      <c r="W549" s="179"/>
      <c r="X549" s="179"/>
      <c r="Y549" s="179"/>
      <c r="Z549" s="179"/>
      <c r="AA549" s="179"/>
      <c r="AB549" s="179"/>
      <c r="AC549" s="179"/>
      <c r="AD549" s="179"/>
      <c r="AE549" s="179"/>
      <c r="AF549" s="179"/>
      <c r="AG549" s="179"/>
      <c r="AH549" s="179"/>
      <c r="AI549" s="179"/>
      <c r="AJ549" s="179"/>
      <c r="AK549" s="179"/>
      <c r="AL549" s="179"/>
      <c r="AM549" s="179"/>
      <c r="AN549" s="179"/>
      <c r="AO549" s="179"/>
    </row>
    <row r="550" spans="3:41" hidden="1" x14ac:dyDescent="0.2">
      <c r="C550" s="179" t="str">
        <f t="shared" si="251"/>
        <v>Residential</v>
      </c>
      <c r="D550" s="179" t="str">
        <f t="shared" si="252"/>
        <v/>
      </c>
      <c r="E550" s="179"/>
      <c r="F550" s="179">
        <f>F193*'WK3 - Notional GI Yr1 YIELD'!$D21</f>
        <v>0</v>
      </c>
      <c r="G550" s="179">
        <f>G193*'WK3 - Notional GI Yr1 YIELD'!$D21</f>
        <v>0</v>
      </c>
      <c r="H550" s="179">
        <f>H193*'WK3 - Notional GI Yr1 YIELD'!$D21</f>
        <v>0</v>
      </c>
      <c r="I550" s="179">
        <f>I193*'WK3 - Notional GI Yr1 YIELD'!$D21</f>
        <v>0</v>
      </c>
      <c r="J550" s="179">
        <f>J193*'WK3 - Notional GI Yr1 YIELD'!$D21</f>
        <v>0</v>
      </c>
      <c r="K550" s="179">
        <f>K193*'WK3 - Notional GI Yr1 YIELD'!$D21</f>
        <v>0</v>
      </c>
      <c r="L550" s="179">
        <f>L193*'WK3 - Notional GI Yr1 YIELD'!$D21</f>
        <v>0</v>
      </c>
      <c r="M550" s="179"/>
      <c r="N550" s="179"/>
      <c r="O550" s="179"/>
      <c r="P550" s="179"/>
      <c r="Q550" s="179"/>
      <c r="R550" s="179"/>
      <c r="S550" s="179"/>
      <c r="T550" s="179"/>
      <c r="U550" s="179"/>
      <c r="V550" s="179"/>
      <c r="W550" s="179"/>
      <c r="X550" s="179"/>
      <c r="Y550" s="179"/>
      <c r="Z550" s="179"/>
      <c r="AA550" s="179"/>
      <c r="AB550" s="179"/>
      <c r="AC550" s="179"/>
      <c r="AD550" s="179"/>
      <c r="AE550" s="179"/>
      <c r="AF550" s="179"/>
      <c r="AG550" s="179"/>
      <c r="AH550" s="179"/>
      <c r="AI550" s="179"/>
      <c r="AJ550" s="179"/>
      <c r="AK550" s="179"/>
      <c r="AL550" s="179"/>
      <c r="AM550" s="179"/>
      <c r="AN550" s="179"/>
      <c r="AO550" s="179"/>
    </row>
    <row r="551" spans="3:41" hidden="1" x14ac:dyDescent="0.2">
      <c r="C551" s="179" t="str">
        <f t="shared" si="251"/>
        <v>Residential</v>
      </c>
      <c r="D551" s="179" t="str">
        <f t="shared" si="252"/>
        <v/>
      </c>
      <c r="E551" s="179"/>
      <c r="F551" s="179">
        <f>F194*'WK3 - Notional GI Yr1 YIELD'!$D22</f>
        <v>0</v>
      </c>
      <c r="G551" s="179">
        <f>G194*'WK3 - Notional GI Yr1 YIELD'!$D22</f>
        <v>0</v>
      </c>
      <c r="H551" s="179">
        <f>H194*'WK3 - Notional GI Yr1 YIELD'!$D22</f>
        <v>0</v>
      </c>
      <c r="I551" s="179">
        <f>I194*'WK3 - Notional GI Yr1 YIELD'!$D22</f>
        <v>0</v>
      </c>
      <c r="J551" s="179">
        <f>J194*'WK3 - Notional GI Yr1 YIELD'!$D22</f>
        <v>0</v>
      </c>
      <c r="K551" s="179">
        <f>K194*'WK3 - Notional GI Yr1 YIELD'!$D22</f>
        <v>0</v>
      </c>
      <c r="L551" s="179">
        <f>L194*'WK3 - Notional GI Yr1 YIELD'!$D22</f>
        <v>0</v>
      </c>
      <c r="M551" s="179"/>
      <c r="N551" s="179"/>
      <c r="O551" s="179"/>
      <c r="P551" s="179"/>
      <c r="Q551" s="179"/>
      <c r="R551" s="179"/>
      <c r="S551" s="179"/>
      <c r="T551" s="179"/>
      <c r="U551" s="179"/>
      <c r="V551" s="179"/>
      <c r="W551" s="179"/>
      <c r="X551" s="179"/>
      <c r="Y551" s="179"/>
      <c r="Z551" s="179"/>
      <c r="AA551" s="179"/>
      <c r="AB551" s="179"/>
      <c r="AC551" s="179"/>
      <c r="AD551" s="179"/>
      <c r="AE551" s="179"/>
      <c r="AF551" s="179"/>
      <c r="AG551" s="179"/>
      <c r="AH551" s="179"/>
      <c r="AI551" s="179"/>
      <c r="AJ551" s="179"/>
      <c r="AK551" s="179"/>
      <c r="AL551" s="179"/>
      <c r="AM551" s="179"/>
      <c r="AN551" s="179"/>
      <c r="AO551" s="179"/>
    </row>
    <row r="552" spans="3:41" hidden="1" x14ac:dyDescent="0.2">
      <c r="C552" s="179" t="str">
        <f t="shared" si="251"/>
        <v>Residential</v>
      </c>
      <c r="D552" s="179" t="str">
        <f t="shared" si="252"/>
        <v/>
      </c>
      <c r="E552" s="179"/>
      <c r="F552" s="179">
        <f>F195*'WK3 - Notional GI Yr1 YIELD'!$D23</f>
        <v>0</v>
      </c>
      <c r="G552" s="179">
        <f>G195*'WK3 - Notional GI Yr1 YIELD'!$D23</f>
        <v>0</v>
      </c>
      <c r="H552" s="179">
        <f>H195*'WK3 - Notional GI Yr1 YIELD'!$D23</f>
        <v>0</v>
      </c>
      <c r="I552" s="179">
        <f>I195*'WK3 - Notional GI Yr1 YIELD'!$D23</f>
        <v>0</v>
      </c>
      <c r="J552" s="179">
        <f>J195*'WK3 - Notional GI Yr1 YIELD'!$D23</f>
        <v>0</v>
      </c>
      <c r="K552" s="179">
        <f>K195*'WK3 - Notional GI Yr1 YIELD'!$D23</f>
        <v>0</v>
      </c>
      <c r="L552" s="179">
        <f>L195*'WK3 - Notional GI Yr1 YIELD'!$D23</f>
        <v>0</v>
      </c>
      <c r="M552" s="179"/>
      <c r="N552" s="179"/>
      <c r="O552" s="179"/>
      <c r="P552" s="179"/>
      <c r="Q552" s="179"/>
      <c r="R552" s="179"/>
      <c r="S552" s="179"/>
      <c r="T552" s="179"/>
      <c r="U552" s="179"/>
      <c r="V552" s="179"/>
      <c r="W552" s="179"/>
      <c r="X552" s="179"/>
      <c r="Y552" s="179"/>
      <c r="Z552" s="179"/>
      <c r="AA552" s="179"/>
      <c r="AB552" s="179"/>
      <c r="AC552" s="179"/>
      <c r="AD552" s="179"/>
      <c r="AE552" s="179"/>
      <c r="AF552" s="179"/>
      <c r="AG552" s="179"/>
      <c r="AH552" s="179"/>
      <c r="AI552" s="179"/>
      <c r="AJ552" s="179"/>
      <c r="AK552" s="179"/>
      <c r="AL552" s="179"/>
      <c r="AM552" s="179"/>
      <c r="AN552" s="179"/>
      <c r="AO552" s="179"/>
    </row>
    <row r="553" spans="3:41" hidden="1" x14ac:dyDescent="0.2">
      <c r="C553" s="179" t="str">
        <f t="shared" si="251"/>
        <v>Residential</v>
      </c>
      <c r="D553" s="179" t="str">
        <f t="shared" si="252"/>
        <v/>
      </c>
      <c r="E553" s="179"/>
      <c r="F553" s="179">
        <f>F196*'WK3 - Notional GI Yr1 YIELD'!$D24</f>
        <v>0</v>
      </c>
      <c r="G553" s="179">
        <f>G196*'WK3 - Notional GI Yr1 YIELD'!$D24</f>
        <v>0</v>
      </c>
      <c r="H553" s="179">
        <f>H196*'WK3 - Notional GI Yr1 YIELD'!$D24</f>
        <v>0</v>
      </c>
      <c r="I553" s="179">
        <f>I196*'WK3 - Notional GI Yr1 YIELD'!$D24</f>
        <v>0</v>
      </c>
      <c r="J553" s="179">
        <f>J196*'WK3 - Notional GI Yr1 YIELD'!$D24</f>
        <v>0</v>
      </c>
      <c r="K553" s="179">
        <f>K196*'WK3 - Notional GI Yr1 YIELD'!$D24</f>
        <v>0</v>
      </c>
      <c r="L553" s="179">
        <f>L196*'WK3 - Notional GI Yr1 YIELD'!$D24</f>
        <v>0</v>
      </c>
      <c r="M553" s="179"/>
      <c r="N553" s="179"/>
      <c r="O553" s="179"/>
      <c r="P553" s="179"/>
      <c r="Q553" s="179"/>
      <c r="R553" s="179"/>
      <c r="S553" s="179"/>
      <c r="T553" s="179"/>
      <c r="U553" s="179"/>
      <c r="V553" s="179"/>
      <c r="W553" s="179"/>
      <c r="X553" s="179"/>
      <c r="Y553" s="179"/>
      <c r="Z553" s="179"/>
      <c r="AA553" s="179"/>
      <c r="AB553" s="179"/>
      <c r="AC553" s="179"/>
      <c r="AD553" s="179"/>
      <c r="AE553" s="179"/>
      <c r="AF553" s="179"/>
      <c r="AG553" s="179"/>
      <c r="AH553" s="179"/>
      <c r="AI553" s="179"/>
      <c r="AJ553" s="179"/>
      <c r="AK553" s="179"/>
      <c r="AL553" s="179"/>
      <c r="AM553" s="179"/>
      <c r="AN553" s="179"/>
      <c r="AO553" s="179"/>
    </row>
    <row r="554" spans="3:41" hidden="1" x14ac:dyDescent="0.2">
      <c r="C554" s="179" t="str">
        <f t="shared" si="251"/>
        <v>Residential</v>
      </c>
      <c r="D554" s="179" t="str">
        <f t="shared" si="252"/>
        <v/>
      </c>
      <c r="E554" s="179"/>
      <c r="F554" s="179">
        <f>F197*'WK3 - Notional GI Yr1 YIELD'!$D25</f>
        <v>0</v>
      </c>
      <c r="G554" s="179">
        <f>G197*'WK3 - Notional GI Yr1 YIELD'!$D25</f>
        <v>0</v>
      </c>
      <c r="H554" s="179">
        <f>H197*'WK3 - Notional GI Yr1 YIELD'!$D25</f>
        <v>0</v>
      </c>
      <c r="I554" s="179">
        <f>I197*'WK3 - Notional GI Yr1 YIELD'!$D25</f>
        <v>0</v>
      </c>
      <c r="J554" s="179">
        <f>J197*'WK3 - Notional GI Yr1 YIELD'!$D25</f>
        <v>0</v>
      </c>
      <c r="K554" s="179">
        <f>K197*'WK3 - Notional GI Yr1 YIELD'!$D25</f>
        <v>0</v>
      </c>
      <c r="L554" s="179">
        <f>L197*'WK3 - Notional GI Yr1 YIELD'!$D25</f>
        <v>0</v>
      </c>
      <c r="M554" s="179"/>
      <c r="N554" s="179"/>
      <c r="O554" s="179"/>
      <c r="P554" s="179"/>
      <c r="Q554" s="179"/>
      <c r="R554" s="179"/>
      <c r="S554" s="179"/>
      <c r="T554" s="179"/>
      <c r="U554" s="179"/>
      <c r="V554" s="179"/>
      <c r="W554" s="179"/>
      <c r="X554" s="179"/>
      <c r="Y554" s="179"/>
      <c r="Z554" s="179"/>
      <c r="AA554" s="179"/>
      <c r="AB554" s="179"/>
      <c r="AC554" s="179"/>
      <c r="AD554" s="179"/>
      <c r="AE554" s="179"/>
      <c r="AF554" s="179"/>
      <c r="AG554" s="179"/>
      <c r="AH554" s="179"/>
      <c r="AI554" s="179"/>
      <c r="AJ554" s="179"/>
      <c r="AK554" s="179"/>
      <c r="AL554" s="179"/>
      <c r="AM554" s="179"/>
      <c r="AN554" s="179"/>
      <c r="AO554" s="179"/>
    </row>
    <row r="555" spans="3:41" hidden="1" x14ac:dyDescent="0.2">
      <c r="C555" s="179" t="str">
        <f t="shared" si="251"/>
        <v>Residential</v>
      </c>
      <c r="D555" s="179" t="str">
        <f t="shared" si="252"/>
        <v/>
      </c>
      <c r="E555" s="179"/>
      <c r="F555" s="179">
        <f>F198*'WK3 - Notional GI Yr1 YIELD'!$D26</f>
        <v>0</v>
      </c>
      <c r="G555" s="179">
        <f>G198*'WK3 - Notional GI Yr1 YIELD'!$D26</f>
        <v>0</v>
      </c>
      <c r="H555" s="179">
        <f>H198*'WK3 - Notional GI Yr1 YIELD'!$D26</f>
        <v>0</v>
      </c>
      <c r="I555" s="179">
        <f>I198*'WK3 - Notional GI Yr1 YIELD'!$D26</f>
        <v>0</v>
      </c>
      <c r="J555" s="179">
        <f>J198*'WK3 - Notional GI Yr1 YIELD'!$D26</f>
        <v>0</v>
      </c>
      <c r="K555" s="179">
        <f>K198*'WK3 - Notional GI Yr1 YIELD'!$D26</f>
        <v>0</v>
      </c>
      <c r="L555" s="179">
        <f>L198*'WK3 - Notional GI Yr1 YIELD'!$D26</f>
        <v>0</v>
      </c>
      <c r="M555" s="179"/>
      <c r="N555" s="179"/>
      <c r="O555" s="179"/>
      <c r="P555" s="179"/>
      <c r="Q555" s="179"/>
      <c r="R555" s="179"/>
      <c r="S555" s="179"/>
      <c r="T555" s="179"/>
      <c r="U555" s="179"/>
      <c r="V555" s="179"/>
      <c r="W555" s="179"/>
      <c r="X555" s="179"/>
      <c r="Y555" s="179"/>
      <c r="Z555" s="179"/>
      <c r="AA555" s="179"/>
      <c r="AB555" s="179"/>
      <c r="AC555" s="179"/>
      <c r="AD555" s="179"/>
      <c r="AE555" s="179"/>
      <c r="AF555" s="179"/>
      <c r="AG555" s="179"/>
      <c r="AH555" s="179"/>
      <c r="AI555" s="179"/>
      <c r="AJ555" s="179"/>
      <c r="AK555" s="179"/>
      <c r="AL555" s="179"/>
      <c r="AM555" s="179"/>
      <c r="AN555" s="179"/>
      <c r="AO555" s="179"/>
    </row>
    <row r="556" spans="3:41" hidden="1" x14ac:dyDescent="0.2">
      <c r="C556" s="179" t="str">
        <f t="shared" si="251"/>
        <v>Residential</v>
      </c>
      <c r="D556" s="179" t="str">
        <f t="shared" si="252"/>
        <v/>
      </c>
      <c r="E556" s="179"/>
      <c r="F556" s="179">
        <f>F199*'WK3 - Notional GI Yr1 YIELD'!$D27</f>
        <v>0</v>
      </c>
      <c r="G556" s="179">
        <f>G199*'WK3 - Notional GI Yr1 YIELD'!$D27</f>
        <v>0</v>
      </c>
      <c r="H556" s="179">
        <f>H199*'WK3 - Notional GI Yr1 YIELD'!$D27</f>
        <v>0</v>
      </c>
      <c r="I556" s="179">
        <f>I199*'WK3 - Notional GI Yr1 YIELD'!$D27</f>
        <v>0</v>
      </c>
      <c r="J556" s="179">
        <f>J199*'WK3 - Notional GI Yr1 YIELD'!$D27</f>
        <v>0</v>
      </c>
      <c r="K556" s="179">
        <f>K199*'WK3 - Notional GI Yr1 YIELD'!$D27</f>
        <v>0</v>
      </c>
      <c r="L556" s="179">
        <f>L199*'WK3 - Notional GI Yr1 YIELD'!$D27</f>
        <v>0</v>
      </c>
      <c r="M556" s="179"/>
      <c r="N556" s="179"/>
      <c r="O556" s="179"/>
      <c r="P556" s="179"/>
      <c r="Q556" s="179"/>
      <c r="R556" s="179"/>
      <c r="S556" s="179"/>
      <c r="T556" s="179"/>
      <c r="U556" s="179"/>
      <c r="V556" s="179"/>
      <c r="W556" s="179"/>
      <c r="X556" s="179"/>
      <c r="Y556" s="179"/>
      <c r="Z556" s="179"/>
      <c r="AA556" s="179"/>
      <c r="AB556" s="179"/>
      <c r="AC556" s="179"/>
      <c r="AD556" s="179"/>
      <c r="AE556" s="179"/>
      <c r="AF556" s="179"/>
      <c r="AG556" s="179"/>
      <c r="AH556" s="179"/>
      <c r="AI556" s="179"/>
      <c r="AJ556" s="179"/>
      <c r="AK556" s="179"/>
      <c r="AL556" s="179"/>
      <c r="AM556" s="179"/>
      <c r="AN556" s="179"/>
      <c r="AO556" s="179"/>
    </row>
    <row r="557" spans="3:41" hidden="1" x14ac:dyDescent="0.2">
      <c r="C557" s="179" t="str">
        <f t="shared" si="251"/>
        <v>Residential</v>
      </c>
      <c r="D557" s="179" t="str">
        <f t="shared" si="252"/>
        <v/>
      </c>
      <c r="E557" s="179"/>
      <c r="F557" s="179">
        <f>F200*'WK3 - Notional GI Yr1 YIELD'!$D28</f>
        <v>0</v>
      </c>
      <c r="G557" s="179">
        <f>G200*'WK3 - Notional GI Yr1 YIELD'!$D28</f>
        <v>0</v>
      </c>
      <c r="H557" s="179">
        <f>H200*'WK3 - Notional GI Yr1 YIELD'!$D28</f>
        <v>0</v>
      </c>
      <c r="I557" s="179">
        <f>I200*'WK3 - Notional GI Yr1 YIELD'!$D28</f>
        <v>0</v>
      </c>
      <c r="J557" s="179">
        <f>J200*'WK3 - Notional GI Yr1 YIELD'!$D28</f>
        <v>0</v>
      </c>
      <c r="K557" s="179">
        <f>K200*'WK3 - Notional GI Yr1 YIELD'!$D28</f>
        <v>0</v>
      </c>
      <c r="L557" s="179">
        <f>L200*'WK3 - Notional GI Yr1 YIELD'!$D28</f>
        <v>0</v>
      </c>
      <c r="M557" s="179"/>
      <c r="N557" s="179"/>
      <c r="O557" s="179"/>
      <c r="P557" s="179"/>
      <c r="Q557" s="179"/>
      <c r="R557" s="179"/>
      <c r="S557" s="179"/>
      <c r="T557" s="179"/>
      <c r="U557" s="179"/>
      <c r="V557" s="179"/>
      <c r="W557" s="179"/>
      <c r="X557" s="179"/>
      <c r="Y557" s="179"/>
      <c r="Z557" s="179"/>
      <c r="AA557" s="179"/>
      <c r="AB557" s="179"/>
      <c r="AC557" s="179"/>
      <c r="AD557" s="179"/>
      <c r="AE557" s="179"/>
      <c r="AF557" s="179"/>
      <c r="AG557" s="179"/>
      <c r="AH557" s="179"/>
      <c r="AI557" s="179"/>
      <c r="AJ557" s="179"/>
      <c r="AK557" s="179"/>
      <c r="AL557" s="179"/>
      <c r="AM557" s="179"/>
      <c r="AN557" s="179"/>
      <c r="AO557" s="179"/>
    </row>
    <row r="558" spans="3:41" hidden="1" x14ac:dyDescent="0.2">
      <c r="C558" s="179" t="str">
        <f t="shared" si="251"/>
        <v>Residential</v>
      </c>
      <c r="D558" s="179" t="str">
        <f t="shared" si="252"/>
        <v/>
      </c>
      <c r="E558" s="179"/>
      <c r="F558" s="179">
        <f>F201*'WK3 - Notional GI Yr1 YIELD'!$D29</f>
        <v>0</v>
      </c>
      <c r="G558" s="179">
        <f>G201*'WK3 - Notional GI Yr1 YIELD'!$D29</f>
        <v>0</v>
      </c>
      <c r="H558" s="179">
        <f>H201*'WK3 - Notional GI Yr1 YIELD'!$D29</f>
        <v>0</v>
      </c>
      <c r="I558" s="179">
        <f>I201*'WK3 - Notional GI Yr1 YIELD'!$D29</f>
        <v>0</v>
      </c>
      <c r="J558" s="179">
        <f>J201*'WK3 - Notional GI Yr1 YIELD'!$D29</f>
        <v>0</v>
      </c>
      <c r="K558" s="179">
        <f>K201*'WK3 - Notional GI Yr1 YIELD'!$D29</f>
        <v>0</v>
      </c>
      <c r="L558" s="179">
        <f>L201*'WK3 - Notional GI Yr1 YIELD'!$D29</f>
        <v>0</v>
      </c>
      <c r="M558" s="179"/>
      <c r="N558" s="179"/>
      <c r="O558" s="179"/>
      <c r="P558" s="179"/>
      <c r="Q558" s="179"/>
      <c r="R558" s="179"/>
      <c r="S558" s="179"/>
      <c r="T558" s="179"/>
      <c r="U558" s="179"/>
      <c r="V558" s="179"/>
      <c r="W558" s="179"/>
      <c r="X558" s="179"/>
      <c r="Y558" s="179"/>
      <c r="Z558" s="179"/>
      <c r="AA558" s="179"/>
      <c r="AB558" s="179"/>
      <c r="AC558" s="179"/>
      <c r="AD558" s="179"/>
      <c r="AE558" s="179"/>
      <c r="AF558" s="179"/>
      <c r="AG558" s="179"/>
      <c r="AH558" s="179"/>
      <c r="AI558" s="179"/>
      <c r="AJ558" s="179"/>
      <c r="AK558" s="179"/>
      <c r="AL558" s="179"/>
      <c r="AM558" s="179"/>
      <c r="AN558" s="179"/>
      <c r="AO558" s="179"/>
    </row>
    <row r="559" spans="3:41" hidden="1" x14ac:dyDescent="0.2">
      <c r="C559" s="179" t="str">
        <f t="shared" si="251"/>
        <v>Residential</v>
      </c>
      <c r="D559" s="179" t="str">
        <f t="shared" si="252"/>
        <v/>
      </c>
      <c r="E559" s="179"/>
      <c r="F559" s="179">
        <f>F202*'WK3 - Notional GI Yr1 YIELD'!$D30</f>
        <v>0</v>
      </c>
      <c r="G559" s="179">
        <f>G202*'WK3 - Notional GI Yr1 YIELD'!$D30</f>
        <v>0</v>
      </c>
      <c r="H559" s="179">
        <f>H202*'WK3 - Notional GI Yr1 YIELD'!$D30</f>
        <v>0</v>
      </c>
      <c r="I559" s="179">
        <f>I202*'WK3 - Notional GI Yr1 YIELD'!$D30</f>
        <v>0</v>
      </c>
      <c r="J559" s="179">
        <f>J202*'WK3 - Notional GI Yr1 YIELD'!$D30</f>
        <v>0</v>
      </c>
      <c r="K559" s="179">
        <f>K202*'WK3 - Notional GI Yr1 YIELD'!$D30</f>
        <v>0</v>
      </c>
      <c r="L559" s="179">
        <f>L202*'WK3 - Notional GI Yr1 YIELD'!$D30</f>
        <v>0</v>
      </c>
      <c r="M559" s="179"/>
      <c r="N559" s="179"/>
      <c r="O559" s="179"/>
      <c r="P559" s="179"/>
      <c r="Q559" s="179"/>
      <c r="R559" s="179"/>
      <c r="S559" s="179"/>
      <c r="T559" s="179"/>
      <c r="U559" s="179"/>
      <c r="V559" s="179"/>
      <c r="W559" s="179"/>
      <c r="X559" s="179"/>
      <c r="Y559" s="179"/>
      <c r="Z559" s="179"/>
      <c r="AA559" s="179"/>
      <c r="AB559" s="179"/>
      <c r="AC559" s="179"/>
      <c r="AD559" s="179"/>
      <c r="AE559" s="179"/>
      <c r="AF559" s="179"/>
      <c r="AG559" s="179"/>
      <c r="AH559" s="179"/>
      <c r="AI559" s="179"/>
      <c r="AJ559" s="179"/>
      <c r="AK559" s="179"/>
      <c r="AL559" s="179"/>
      <c r="AM559" s="179"/>
      <c r="AN559" s="179"/>
      <c r="AO559" s="179"/>
    </row>
    <row r="560" spans="3:41" hidden="1" x14ac:dyDescent="0.2">
      <c r="C560" s="179" t="str">
        <f t="shared" si="251"/>
        <v>Residential</v>
      </c>
      <c r="D560" s="179" t="str">
        <f t="shared" si="252"/>
        <v/>
      </c>
      <c r="E560" s="179"/>
      <c r="F560" s="179">
        <f>F203*'WK3 - Notional GI Yr1 YIELD'!$D31</f>
        <v>0</v>
      </c>
      <c r="G560" s="179">
        <f>G203*'WK3 - Notional GI Yr1 YIELD'!$D31</f>
        <v>0</v>
      </c>
      <c r="H560" s="179">
        <f>H203*'WK3 - Notional GI Yr1 YIELD'!$D31</f>
        <v>0</v>
      </c>
      <c r="I560" s="179">
        <f>I203*'WK3 - Notional GI Yr1 YIELD'!$D31</f>
        <v>0</v>
      </c>
      <c r="J560" s="179">
        <f>J203*'WK3 - Notional GI Yr1 YIELD'!$D31</f>
        <v>0</v>
      </c>
      <c r="K560" s="179">
        <f>K203*'WK3 - Notional GI Yr1 YIELD'!$D31</f>
        <v>0</v>
      </c>
      <c r="L560" s="179">
        <f>L203*'WK3 - Notional GI Yr1 YIELD'!$D31</f>
        <v>0</v>
      </c>
      <c r="M560" s="179"/>
      <c r="N560" s="179"/>
      <c r="O560" s="179"/>
      <c r="P560" s="179"/>
      <c r="Q560" s="179"/>
      <c r="R560" s="179"/>
      <c r="S560" s="179"/>
      <c r="T560" s="179"/>
      <c r="U560" s="179"/>
      <c r="V560" s="179"/>
      <c r="W560" s="179"/>
      <c r="X560" s="179"/>
      <c r="Y560" s="179"/>
      <c r="Z560" s="179"/>
      <c r="AA560" s="179"/>
      <c r="AB560" s="179"/>
      <c r="AC560" s="179"/>
      <c r="AD560" s="179"/>
      <c r="AE560" s="179"/>
      <c r="AF560" s="179"/>
      <c r="AG560" s="179"/>
      <c r="AH560" s="179"/>
      <c r="AI560" s="179"/>
      <c r="AJ560" s="179"/>
      <c r="AK560" s="179"/>
      <c r="AL560" s="179"/>
      <c r="AM560" s="179"/>
      <c r="AN560" s="179"/>
      <c r="AO560" s="179"/>
    </row>
    <row r="561" spans="3:41" hidden="1" x14ac:dyDescent="0.2">
      <c r="C561" s="179" t="str">
        <f t="shared" si="251"/>
        <v>Residential</v>
      </c>
      <c r="D561" s="179" t="str">
        <f t="shared" si="252"/>
        <v/>
      </c>
      <c r="E561" s="179"/>
      <c r="F561" s="179">
        <f>F204*'WK3 - Notional GI Yr1 YIELD'!$D32</f>
        <v>0</v>
      </c>
      <c r="G561" s="179">
        <f>G204*'WK3 - Notional GI Yr1 YIELD'!$D32</f>
        <v>0</v>
      </c>
      <c r="H561" s="179">
        <f>H204*'WK3 - Notional GI Yr1 YIELD'!$D32</f>
        <v>0</v>
      </c>
      <c r="I561" s="179">
        <f>I204*'WK3 - Notional GI Yr1 YIELD'!$D32</f>
        <v>0</v>
      </c>
      <c r="J561" s="179">
        <f>J204*'WK3 - Notional GI Yr1 YIELD'!$D32</f>
        <v>0</v>
      </c>
      <c r="K561" s="179">
        <f>K204*'WK3 - Notional GI Yr1 YIELD'!$D32</f>
        <v>0</v>
      </c>
      <c r="L561" s="179">
        <f>L204*'WK3 - Notional GI Yr1 YIELD'!$D32</f>
        <v>0</v>
      </c>
      <c r="M561" s="179"/>
      <c r="N561" s="179"/>
      <c r="O561" s="179"/>
      <c r="P561" s="179"/>
      <c r="Q561" s="179"/>
      <c r="R561" s="179"/>
      <c r="S561" s="179"/>
      <c r="T561" s="179"/>
      <c r="U561" s="179"/>
      <c r="V561" s="179"/>
      <c r="W561" s="179"/>
      <c r="X561" s="179"/>
      <c r="Y561" s="179"/>
      <c r="Z561" s="179"/>
      <c r="AA561" s="179"/>
      <c r="AB561" s="179"/>
      <c r="AC561" s="179"/>
      <c r="AD561" s="179"/>
      <c r="AE561" s="179"/>
      <c r="AF561" s="179"/>
      <c r="AG561" s="179"/>
      <c r="AH561" s="179"/>
      <c r="AI561" s="179"/>
      <c r="AJ561" s="179"/>
      <c r="AK561" s="179"/>
      <c r="AL561" s="179"/>
      <c r="AM561" s="179"/>
      <c r="AN561" s="179"/>
      <c r="AO561" s="179"/>
    </row>
    <row r="562" spans="3:41" hidden="1" x14ac:dyDescent="0.2">
      <c r="C562" s="179" t="str">
        <f t="shared" si="251"/>
        <v>Residential</v>
      </c>
      <c r="D562" s="179" t="str">
        <f t="shared" si="252"/>
        <v/>
      </c>
      <c r="E562" s="179"/>
      <c r="F562" s="179">
        <f>F205*'WK3 - Notional GI Yr1 YIELD'!$D33</f>
        <v>0</v>
      </c>
      <c r="G562" s="179">
        <f>G205*'WK3 - Notional GI Yr1 YIELD'!$D33</f>
        <v>0</v>
      </c>
      <c r="H562" s="179">
        <f>H205*'WK3 - Notional GI Yr1 YIELD'!$D33</f>
        <v>0</v>
      </c>
      <c r="I562" s="179">
        <f>I205*'WK3 - Notional GI Yr1 YIELD'!$D33</f>
        <v>0</v>
      </c>
      <c r="J562" s="179">
        <f>J205*'WK3 - Notional GI Yr1 YIELD'!$D33</f>
        <v>0</v>
      </c>
      <c r="K562" s="179">
        <f>K205*'WK3 - Notional GI Yr1 YIELD'!$D33</f>
        <v>0</v>
      </c>
      <c r="L562" s="179">
        <f>L205*'WK3 - Notional GI Yr1 YIELD'!$D33</f>
        <v>0</v>
      </c>
      <c r="M562" s="179"/>
      <c r="N562" s="179"/>
      <c r="O562" s="179"/>
      <c r="P562" s="179"/>
      <c r="Q562" s="179"/>
      <c r="R562" s="179"/>
      <c r="S562" s="179"/>
      <c r="T562" s="179"/>
      <c r="U562" s="179"/>
      <c r="V562" s="179"/>
      <c r="W562" s="179"/>
      <c r="X562" s="179"/>
      <c r="Y562" s="179"/>
      <c r="Z562" s="179"/>
      <c r="AA562" s="179"/>
      <c r="AB562" s="179"/>
      <c r="AC562" s="179"/>
      <c r="AD562" s="179"/>
      <c r="AE562" s="179"/>
      <c r="AF562" s="179"/>
      <c r="AG562" s="179"/>
      <c r="AH562" s="179"/>
      <c r="AI562" s="179"/>
      <c r="AJ562" s="179"/>
      <c r="AK562" s="179"/>
      <c r="AL562" s="179"/>
      <c r="AM562" s="179"/>
      <c r="AN562" s="179"/>
      <c r="AO562" s="179"/>
    </row>
    <row r="563" spans="3:41" hidden="1" x14ac:dyDescent="0.2">
      <c r="C563" s="179" t="str">
        <f t="shared" si="251"/>
        <v>Special rate</v>
      </c>
      <c r="D563" s="179" t="str">
        <f t="shared" si="251"/>
        <v/>
      </c>
      <c r="E563" s="179"/>
      <c r="F563" s="179">
        <f>F206*'WK3 - Notional GI Yr1 YIELD'!$D92</f>
        <v>0</v>
      </c>
      <c r="G563" s="179">
        <f>G206*'WK3 - Notional GI Yr1 YIELD'!$D92</f>
        <v>0</v>
      </c>
      <c r="H563" s="179">
        <f>H206*'WK3 - Notional GI Yr1 YIELD'!$D92</f>
        <v>0</v>
      </c>
      <c r="I563" s="179">
        <f>I206*'WK3 - Notional GI Yr1 YIELD'!$D92</f>
        <v>0</v>
      </c>
      <c r="J563" s="179">
        <f>J206*'WK3 - Notional GI Yr1 YIELD'!$D92</f>
        <v>0</v>
      </c>
      <c r="K563" s="179">
        <f>K206*'WK3 - Notional GI Yr1 YIELD'!$D92</f>
        <v>0</v>
      </c>
      <c r="L563" s="179">
        <f>L206*'WK3 - Notional GI Yr1 YIELD'!$D92</f>
        <v>0</v>
      </c>
      <c r="M563" s="179"/>
      <c r="N563" s="179"/>
      <c r="O563" s="179"/>
      <c r="P563" s="179"/>
      <c r="Q563" s="179"/>
      <c r="R563" s="179"/>
      <c r="S563" s="179"/>
      <c r="T563" s="179"/>
      <c r="U563" s="179"/>
      <c r="V563" s="179"/>
      <c r="W563" s="179"/>
      <c r="X563" s="179"/>
      <c r="Y563" s="179"/>
      <c r="Z563" s="179"/>
      <c r="AA563" s="179"/>
      <c r="AB563" s="179"/>
      <c r="AC563" s="179"/>
      <c r="AD563" s="179"/>
      <c r="AE563" s="179"/>
      <c r="AF563" s="179"/>
      <c r="AG563" s="179"/>
      <c r="AH563" s="179"/>
      <c r="AI563" s="179"/>
      <c r="AJ563" s="179"/>
      <c r="AK563" s="179"/>
      <c r="AL563" s="179"/>
      <c r="AM563" s="179"/>
      <c r="AN563" s="179"/>
      <c r="AO563" s="179"/>
    </row>
    <row r="564" spans="3:41" hidden="1" x14ac:dyDescent="0.2">
      <c r="C564" s="179" t="str">
        <f t="shared" si="251"/>
        <v>Special rate</v>
      </c>
      <c r="D564" s="179" t="str">
        <f t="shared" ref="D564:D572" si="253">D207</f>
        <v/>
      </c>
      <c r="E564" s="179"/>
      <c r="F564" s="179">
        <f>F207*'WK3 - Notional GI Yr1 YIELD'!$D93</f>
        <v>0</v>
      </c>
      <c r="G564" s="179">
        <f>G207*'WK3 - Notional GI Yr1 YIELD'!$D93</f>
        <v>0</v>
      </c>
      <c r="H564" s="179">
        <f>H207*'WK3 - Notional GI Yr1 YIELD'!$D93</f>
        <v>0</v>
      </c>
      <c r="I564" s="179">
        <f>I207*'WK3 - Notional GI Yr1 YIELD'!$D93</f>
        <v>0</v>
      </c>
      <c r="J564" s="179">
        <f>J207*'WK3 - Notional GI Yr1 YIELD'!$D93</f>
        <v>0</v>
      </c>
      <c r="K564" s="179">
        <f>K207*'WK3 - Notional GI Yr1 YIELD'!$D93</f>
        <v>0</v>
      </c>
      <c r="L564" s="179">
        <f>L207*'WK3 - Notional GI Yr1 YIELD'!$D93</f>
        <v>0</v>
      </c>
      <c r="M564" s="179"/>
      <c r="N564" s="179"/>
      <c r="O564" s="179"/>
      <c r="P564" s="179"/>
      <c r="Q564" s="179"/>
      <c r="R564" s="179"/>
      <c r="S564" s="179"/>
      <c r="T564" s="179"/>
      <c r="U564" s="179"/>
      <c r="V564" s="179"/>
      <c r="W564" s="179"/>
      <c r="X564" s="179"/>
      <c r="Y564" s="179"/>
      <c r="Z564" s="179"/>
      <c r="AA564" s="179"/>
      <c r="AB564" s="179"/>
      <c r="AC564" s="179"/>
      <c r="AD564" s="179"/>
      <c r="AE564" s="179"/>
      <c r="AF564" s="179"/>
      <c r="AG564" s="179"/>
      <c r="AH564" s="179"/>
      <c r="AI564" s="179"/>
      <c r="AJ564" s="179"/>
      <c r="AK564" s="179"/>
      <c r="AL564" s="179"/>
      <c r="AM564" s="179"/>
      <c r="AN564" s="179"/>
      <c r="AO564" s="179"/>
    </row>
    <row r="565" spans="3:41" hidden="1" x14ac:dyDescent="0.2">
      <c r="C565" s="179" t="str">
        <f t="shared" si="251"/>
        <v>Special rate</v>
      </c>
      <c r="D565" s="179" t="str">
        <f t="shared" si="253"/>
        <v/>
      </c>
      <c r="E565" s="179"/>
      <c r="F565" s="179">
        <f>F208*'WK3 - Notional GI Yr1 YIELD'!$D94</f>
        <v>0</v>
      </c>
      <c r="G565" s="179">
        <f>G208*'WK3 - Notional GI Yr1 YIELD'!$D94</f>
        <v>0</v>
      </c>
      <c r="H565" s="179">
        <f>H208*'WK3 - Notional GI Yr1 YIELD'!$D94</f>
        <v>0</v>
      </c>
      <c r="I565" s="179">
        <f>I208*'WK3 - Notional GI Yr1 YIELD'!$D94</f>
        <v>0</v>
      </c>
      <c r="J565" s="179">
        <f>J208*'WK3 - Notional GI Yr1 YIELD'!$D94</f>
        <v>0</v>
      </c>
      <c r="K565" s="179">
        <f>K208*'WK3 - Notional GI Yr1 YIELD'!$D94</f>
        <v>0</v>
      </c>
      <c r="L565" s="179">
        <f>L208*'WK3 - Notional GI Yr1 YIELD'!$D94</f>
        <v>0</v>
      </c>
      <c r="M565" s="179"/>
      <c r="N565" s="179"/>
      <c r="O565" s="179"/>
      <c r="P565" s="179"/>
      <c r="Q565" s="179"/>
      <c r="R565" s="179"/>
      <c r="S565" s="179"/>
      <c r="T565" s="179"/>
      <c r="U565" s="179"/>
      <c r="V565" s="179"/>
      <c r="W565" s="179"/>
      <c r="X565" s="179"/>
      <c r="Y565" s="179"/>
      <c r="Z565" s="179"/>
      <c r="AA565" s="179"/>
      <c r="AB565" s="179"/>
      <c r="AC565" s="179"/>
      <c r="AD565" s="179"/>
      <c r="AE565" s="179"/>
      <c r="AF565" s="179"/>
      <c r="AG565" s="179"/>
      <c r="AH565" s="179"/>
      <c r="AI565" s="179"/>
      <c r="AJ565" s="179"/>
      <c r="AK565" s="179"/>
      <c r="AL565" s="179"/>
      <c r="AM565" s="179"/>
      <c r="AN565" s="179"/>
      <c r="AO565" s="179"/>
    </row>
    <row r="566" spans="3:41" hidden="1" x14ac:dyDescent="0.2">
      <c r="C566" s="179" t="str">
        <f t="shared" si="251"/>
        <v>Special rate</v>
      </c>
      <c r="D566" s="179" t="str">
        <f t="shared" si="253"/>
        <v/>
      </c>
      <c r="E566" s="179"/>
      <c r="F566" s="179">
        <f>F209*'WK3 - Notional GI Yr1 YIELD'!$D95</f>
        <v>0</v>
      </c>
      <c r="G566" s="179">
        <f>G209*'WK3 - Notional GI Yr1 YIELD'!$D95</f>
        <v>0</v>
      </c>
      <c r="H566" s="179">
        <f>H209*'WK3 - Notional GI Yr1 YIELD'!$D95</f>
        <v>0</v>
      </c>
      <c r="I566" s="179">
        <f>I209*'WK3 - Notional GI Yr1 YIELD'!$D95</f>
        <v>0</v>
      </c>
      <c r="J566" s="179">
        <f>J209*'WK3 - Notional GI Yr1 YIELD'!$D95</f>
        <v>0</v>
      </c>
      <c r="K566" s="179">
        <f>K209*'WK3 - Notional GI Yr1 YIELD'!$D95</f>
        <v>0</v>
      </c>
      <c r="L566" s="179">
        <f>L209*'WK3 - Notional GI Yr1 YIELD'!$D95</f>
        <v>0</v>
      </c>
      <c r="M566" s="179"/>
      <c r="N566" s="179"/>
      <c r="O566" s="179"/>
      <c r="P566" s="179"/>
      <c r="Q566" s="179"/>
      <c r="R566" s="179"/>
      <c r="S566" s="179"/>
      <c r="T566" s="179"/>
      <c r="U566" s="179"/>
      <c r="V566" s="179"/>
      <c r="W566" s="179"/>
      <c r="X566" s="179"/>
      <c r="Y566" s="179"/>
      <c r="Z566" s="179"/>
      <c r="AA566" s="179"/>
      <c r="AB566" s="179"/>
      <c r="AC566" s="179"/>
      <c r="AD566" s="179"/>
      <c r="AE566" s="179"/>
      <c r="AF566" s="179"/>
      <c r="AG566" s="179"/>
      <c r="AH566" s="179"/>
      <c r="AI566" s="179"/>
      <c r="AJ566" s="179"/>
      <c r="AK566" s="179"/>
      <c r="AL566" s="179"/>
      <c r="AM566" s="179"/>
      <c r="AN566" s="179"/>
      <c r="AO566" s="179"/>
    </row>
    <row r="567" spans="3:41" hidden="1" x14ac:dyDescent="0.2">
      <c r="C567" s="179" t="str">
        <f t="shared" si="251"/>
        <v>Special rate</v>
      </c>
      <c r="D567" s="179" t="str">
        <f t="shared" si="253"/>
        <v/>
      </c>
      <c r="E567" s="179"/>
      <c r="F567" s="179">
        <f>F210*'WK3 - Notional GI Yr1 YIELD'!$D96</f>
        <v>0</v>
      </c>
      <c r="G567" s="179">
        <f>G210*'WK3 - Notional GI Yr1 YIELD'!$D96</f>
        <v>0</v>
      </c>
      <c r="H567" s="179">
        <f>H210*'WK3 - Notional GI Yr1 YIELD'!$D96</f>
        <v>0</v>
      </c>
      <c r="I567" s="179">
        <f>I210*'WK3 - Notional GI Yr1 YIELD'!$D96</f>
        <v>0</v>
      </c>
      <c r="J567" s="179">
        <f>J210*'WK3 - Notional GI Yr1 YIELD'!$D96</f>
        <v>0</v>
      </c>
      <c r="K567" s="179">
        <f>K210*'WK3 - Notional GI Yr1 YIELD'!$D96</f>
        <v>0</v>
      </c>
      <c r="L567" s="179">
        <f>L210*'WK3 - Notional GI Yr1 YIELD'!$D96</f>
        <v>0</v>
      </c>
      <c r="M567" s="179"/>
      <c r="N567" s="179"/>
      <c r="O567" s="179"/>
      <c r="P567" s="179"/>
      <c r="Q567" s="179"/>
      <c r="R567" s="179"/>
      <c r="S567" s="179"/>
      <c r="T567" s="179"/>
      <c r="U567" s="179"/>
      <c r="V567" s="179"/>
      <c r="W567" s="179"/>
      <c r="X567" s="179"/>
      <c r="Y567" s="179"/>
      <c r="Z567" s="179"/>
      <c r="AA567" s="179"/>
      <c r="AB567" s="179"/>
      <c r="AC567" s="179"/>
      <c r="AD567" s="179"/>
      <c r="AE567" s="179"/>
      <c r="AF567" s="179"/>
      <c r="AG567" s="179"/>
      <c r="AH567" s="179"/>
      <c r="AI567" s="179"/>
      <c r="AJ567" s="179"/>
      <c r="AK567" s="179"/>
      <c r="AL567" s="179"/>
      <c r="AM567" s="179"/>
      <c r="AN567" s="179"/>
      <c r="AO567" s="179"/>
    </row>
    <row r="568" spans="3:41" hidden="1" x14ac:dyDescent="0.2">
      <c r="C568" s="179" t="str">
        <f t="shared" si="251"/>
        <v>Special rate</v>
      </c>
      <c r="D568" s="179" t="str">
        <f t="shared" si="253"/>
        <v/>
      </c>
      <c r="E568" s="179"/>
      <c r="F568" s="179">
        <f>F211*'WK3 - Notional GI Yr1 YIELD'!$D97</f>
        <v>0</v>
      </c>
      <c r="G568" s="179">
        <f>G211*'WK3 - Notional GI Yr1 YIELD'!$D97</f>
        <v>0</v>
      </c>
      <c r="H568" s="179">
        <f>H211*'WK3 - Notional GI Yr1 YIELD'!$D97</f>
        <v>0</v>
      </c>
      <c r="I568" s="179">
        <f>I211*'WK3 - Notional GI Yr1 YIELD'!$D97</f>
        <v>0</v>
      </c>
      <c r="J568" s="179">
        <f>J211*'WK3 - Notional GI Yr1 YIELD'!$D97</f>
        <v>0</v>
      </c>
      <c r="K568" s="179">
        <f>K211*'WK3 - Notional GI Yr1 YIELD'!$D97</f>
        <v>0</v>
      </c>
      <c r="L568" s="179">
        <f>L211*'WK3 - Notional GI Yr1 YIELD'!$D97</f>
        <v>0</v>
      </c>
      <c r="M568" s="179"/>
      <c r="N568" s="179"/>
      <c r="O568" s="179"/>
      <c r="P568" s="179"/>
      <c r="Q568" s="179"/>
      <c r="R568" s="179"/>
      <c r="S568" s="179"/>
      <c r="T568" s="179"/>
      <c r="U568" s="179"/>
      <c r="V568" s="179"/>
      <c r="W568" s="179"/>
      <c r="X568" s="179"/>
      <c r="Y568" s="179"/>
      <c r="Z568" s="179"/>
      <c r="AA568" s="179"/>
      <c r="AB568" s="179"/>
      <c r="AC568" s="179"/>
      <c r="AD568" s="179"/>
      <c r="AE568" s="179"/>
      <c r="AF568" s="179"/>
      <c r="AG568" s="179"/>
      <c r="AH568" s="179"/>
      <c r="AI568" s="179"/>
      <c r="AJ568" s="179"/>
      <c r="AK568" s="179"/>
      <c r="AL568" s="179"/>
      <c r="AM568" s="179"/>
      <c r="AN568" s="179"/>
      <c r="AO568" s="179"/>
    </row>
    <row r="569" spans="3:41" hidden="1" x14ac:dyDescent="0.2">
      <c r="C569" s="179" t="str">
        <f t="shared" si="251"/>
        <v>Special rate</v>
      </c>
      <c r="D569" s="179" t="str">
        <f t="shared" si="253"/>
        <v/>
      </c>
      <c r="E569" s="179"/>
      <c r="F569" s="179">
        <f>F212*'WK3 - Notional GI Yr1 YIELD'!$D98</f>
        <v>0</v>
      </c>
      <c r="G569" s="179">
        <f>G212*'WK3 - Notional GI Yr1 YIELD'!$D98</f>
        <v>0</v>
      </c>
      <c r="H569" s="179">
        <f>H212*'WK3 - Notional GI Yr1 YIELD'!$D98</f>
        <v>0</v>
      </c>
      <c r="I569" s="179">
        <f>I212*'WK3 - Notional GI Yr1 YIELD'!$D98</f>
        <v>0</v>
      </c>
      <c r="J569" s="179">
        <f>J212*'WK3 - Notional GI Yr1 YIELD'!$D98</f>
        <v>0</v>
      </c>
      <c r="K569" s="179">
        <f>K212*'WK3 - Notional GI Yr1 YIELD'!$D98</f>
        <v>0</v>
      </c>
      <c r="L569" s="179">
        <f>L212*'WK3 - Notional GI Yr1 YIELD'!$D98</f>
        <v>0</v>
      </c>
      <c r="M569" s="179"/>
      <c r="N569" s="179"/>
      <c r="O569" s="179"/>
      <c r="P569" s="179"/>
      <c r="Q569" s="179"/>
      <c r="R569" s="179"/>
      <c r="S569" s="179"/>
      <c r="T569" s="179"/>
      <c r="U569" s="179"/>
      <c r="V569" s="179"/>
      <c r="W569" s="179"/>
      <c r="X569" s="179"/>
      <c r="Y569" s="179"/>
      <c r="Z569" s="179"/>
      <c r="AA569" s="179"/>
      <c r="AB569" s="179"/>
      <c r="AC569" s="179"/>
      <c r="AD569" s="179"/>
      <c r="AE569" s="179"/>
      <c r="AF569" s="179"/>
      <c r="AG569" s="179"/>
      <c r="AH569" s="179"/>
      <c r="AI569" s="179"/>
      <c r="AJ569" s="179"/>
      <c r="AK569" s="179"/>
      <c r="AL569" s="179"/>
      <c r="AM569" s="179"/>
      <c r="AN569" s="179"/>
      <c r="AO569" s="179"/>
    </row>
    <row r="570" spans="3:41" hidden="1" x14ac:dyDescent="0.2">
      <c r="C570" s="179" t="str">
        <f t="shared" si="251"/>
        <v>Special rate</v>
      </c>
      <c r="D570" s="179" t="str">
        <f t="shared" si="253"/>
        <v/>
      </c>
      <c r="E570" s="179"/>
      <c r="F570" s="179">
        <f>F213*'WK3 - Notional GI Yr1 YIELD'!$D99</f>
        <v>0</v>
      </c>
      <c r="G570" s="179">
        <f>G213*'WK3 - Notional GI Yr1 YIELD'!$D99</f>
        <v>0</v>
      </c>
      <c r="H570" s="179">
        <f>H213*'WK3 - Notional GI Yr1 YIELD'!$D99</f>
        <v>0</v>
      </c>
      <c r="I570" s="179">
        <f>I213*'WK3 - Notional GI Yr1 YIELD'!$D99</f>
        <v>0</v>
      </c>
      <c r="J570" s="179">
        <f>J213*'WK3 - Notional GI Yr1 YIELD'!$D99</f>
        <v>0</v>
      </c>
      <c r="K570" s="179">
        <f>K213*'WK3 - Notional GI Yr1 YIELD'!$D99</f>
        <v>0</v>
      </c>
      <c r="L570" s="179">
        <f>L213*'WK3 - Notional GI Yr1 YIELD'!$D99</f>
        <v>0</v>
      </c>
      <c r="M570" s="179"/>
      <c r="N570" s="179"/>
      <c r="O570" s="179"/>
      <c r="P570" s="179"/>
      <c r="Q570" s="179"/>
      <c r="R570" s="179"/>
      <c r="S570" s="179"/>
      <c r="T570" s="179"/>
      <c r="U570" s="179"/>
      <c r="V570" s="179"/>
      <c r="W570" s="179"/>
      <c r="X570" s="179"/>
      <c r="Y570" s="179"/>
      <c r="Z570" s="179"/>
      <c r="AA570" s="179"/>
      <c r="AB570" s="179"/>
      <c r="AC570" s="179"/>
      <c r="AD570" s="179"/>
      <c r="AE570" s="179"/>
      <c r="AF570" s="179"/>
      <c r="AG570" s="179"/>
      <c r="AH570" s="179"/>
      <c r="AI570" s="179"/>
      <c r="AJ570" s="179"/>
      <c r="AK570" s="179"/>
      <c r="AL570" s="179"/>
      <c r="AM570" s="179"/>
      <c r="AN570" s="179"/>
      <c r="AO570" s="179"/>
    </row>
    <row r="571" spans="3:41" hidden="1" x14ac:dyDescent="0.2">
      <c r="C571" s="179" t="s">
        <v>441</v>
      </c>
      <c r="D571" s="179" t="str">
        <f t="shared" si="253"/>
        <v/>
      </c>
      <c r="E571" s="179"/>
      <c r="F571" s="179">
        <f>F214*'WK3 - Notional GI Yr1 YIELD'!$D100</f>
        <v>0</v>
      </c>
      <c r="G571" s="179">
        <f>G214*'WK3 - Notional GI Yr1 YIELD'!$D100</f>
        <v>0</v>
      </c>
      <c r="H571" s="179">
        <f>H214*'WK3 - Notional GI Yr1 YIELD'!$D100</f>
        <v>0</v>
      </c>
      <c r="I571" s="179">
        <f>I214*'WK3 - Notional GI Yr1 YIELD'!$D100</f>
        <v>0</v>
      </c>
      <c r="J571" s="179">
        <f>J214*'WK3 - Notional GI Yr1 YIELD'!$D100</f>
        <v>0</v>
      </c>
      <c r="K571" s="179">
        <f>K214*'WK3 - Notional GI Yr1 YIELD'!$D100</f>
        <v>0</v>
      </c>
      <c r="L571" s="179">
        <f>L214*'WK3 - Notional GI Yr1 YIELD'!$D100</f>
        <v>0</v>
      </c>
      <c r="M571" s="179"/>
      <c r="N571" s="179"/>
      <c r="O571" s="179"/>
      <c r="P571" s="179"/>
      <c r="Q571" s="179"/>
      <c r="R571" s="179"/>
      <c r="S571" s="179"/>
      <c r="T571" s="179"/>
      <c r="U571" s="179"/>
      <c r="V571" s="179"/>
      <c r="W571" s="179"/>
      <c r="X571" s="179"/>
      <c r="Y571" s="179"/>
      <c r="Z571" s="179"/>
      <c r="AA571" s="179"/>
      <c r="AB571" s="179"/>
      <c r="AC571" s="179"/>
      <c r="AD571" s="179"/>
      <c r="AE571" s="179"/>
      <c r="AF571" s="179"/>
      <c r="AG571" s="179"/>
      <c r="AH571" s="179"/>
      <c r="AI571" s="179"/>
      <c r="AJ571" s="179"/>
      <c r="AK571" s="179"/>
      <c r="AL571" s="179"/>
      <c r="AM571" s="179"/>
      <c r="AN571" s="179"/>
      <c r="AO571" s="179"/>
    </row>
    <row r="572" spans="3:41" hidden="1" x14ac:dyDescent="0.2">
      <c r="C572" s="179" t="str">
        <f>C214</f>
        <v>Special rate</v>
      </c>
      <c r="D572" s="179" t="str">
        <f t="shared" si="253"/>
        <v/>
      </c>
      <c r="E572" s="179"/>
      <c r="F572" s="179">
        <f>F215*'WK3 - Notional GI Yr1 YIELD'!$D101</f>
        <v>0</v>
      </c>
      <c r="G572" s="179">
        <f>G215*'WK3 - Notional GI Yr1 YIELD'!$D101</f>
        <v>0</v>
      </c>
      <c r="H572" s="179">
        <f>H215*'WK3 - Notional GI Yr1 YIELD'!$D101</f>
        <v>0</v>
      </c>
      <c r="I572" s="179">
        <f>I215*'WK3 - Notional GI Yr1 YIELD'!$D101</f>
        <v>0</v>
      </c>
      <c r="J572" s="179">
        <f>J215*'WK3 - Notional GI Yr1 YIELD'!$D101</f>
        <v>0</v>
      </c>
      <c r="K572" s="179">
        <f>K215*'WK3 - Notional GI Yr1 YIELD'!$D101</f>
        <v>0</v>
      </c>
      <c r="L572" s="179">
        <f>L215*'WK3 - Notional GI Yr1 YIELD'!$D101</f>
        <v>0</v>
      </c>
      <c r="M572" s="179">
        <f>M215*'WK3 - Notional GI Yr1 YIELD'!$D$95</f>
        <v>0</v>
      </c>
      <c r="N572" s="179"/>
      <c r="O572" s="179"/>
      <c r="P572" s="179"/>
      <c r="Q572" s="179"/>
      <c r="R572" s="179"/>
      <c r="S572" s="179"/>
      <c r="T572" s="179"/>
      <c r="U572" s="179"/>
      <c r="V572" s="179"/>
      <c r="W572" s="179"/>
      <c r="X572" s="179"/>
      <c r="Y572" s="179"/>
      <c r="Z572" s="179"/>
      <c r="AA572" s="179"/>
      <c r="AB572" s="179"/>
      <c r="AC572" s="179"/>
      <c r="AD572" s="179"/>
      <c r="AE572" s="179"/>
      <c r="AF572" s="179"/>
      <c r="AG572" s="179"/>
      <c r="AH572" s="179"/>
      <c r="AI572" s="179"/>
      <c r="AJ572" s="179"/>
      <c r="AK572" s="179"/>
      <c r="AL572" s="179"/>
      <c r="AM572" s="179"/>
      <c r="AN572" s="179"/>
      <c r="AO572" s="179"/>
    </row>
    <row r="573" spans="3:41" s="162" customFormat="1" ht="12" hidden="1" x14ac:dyDescent="0.25">
      <c r="C573" s="656"/>
      <c r="D573" s="656" t="str">
        <f>D449</f>
        <v>TOTAL INCOME FROM RESIDENTIAL</v>
      </c>
      <c r="E573" s="656"/>
      <c r="F573" s="656">
        <f>SUM(F543:F572)</f>
        <v>19432537.924094856</v>
      </c>
      <c r="G573" s="656">
        <f t="shared" ref="G573:L573" si="254">SUM(G543:G572)</f>
        <v>19918351.372197222</v>
      </c>
      <c r="H573" s="656">
        <f t="shared" si="254"/>
        <v>20416310.156502154</v>
      </c>
      <c r="I573" s="656">
        <f t="shared" si="254"/>
        <v>20926717.910414703</v>
      </c>
      <c r="J573" s="656">
        <f t="shared" si="254"/>
        <v>21449885.858175069</v>
      </c>
      <c r="K573" s="656">
        <f t="shared" si="254"/>
        <v>0</v>
      </c>
      <c r="L573" s="656">
        <f t="shared" si="254"/>
        <v>0</v>
      </c>
      <c r="M573" s="179">
        <f>SUM(M543:M572)</f>
        <v>0</v>
      </c>
      <c r="N573" s="656"/>
      <c r="O573" s="656"/>
      <c r="P573" s="656"/>
      <c r="Q573" s="656"/>
      <c r="R573" s="656"/>
      <c r="S573" s="656"/>
      <c r="T573" s="656"/>
      <c r="U573" s="656"/>
      <c r="V573" s="656"/>
      <c r="W573" s="656"/>
      <c r="X573" s="656"/>
      <c r="Y573" s="656"/>
      <c r="Z573" s="656"/>
      <c r="AA573" s="656"/>
      <c r="AB573" s="656"/>
      <c r="AC573" s="656"/>
      <c r="AD573" s="656"/>
      <c r="AE573" s="656"/>
      <c r="AF573" s="656"/>
      <c r="AG573" s="656"/>
      <c r="AH573" s="656"/>
      <c r="AI573" s="656"/>
      <c r="AJ573" s="656"/>
      <c r="AK573" s="656"/>
      <c r="AL573" s="656"/>
      <c r="AM573" s="656"/>
      <c r="AN573" s="656"/>
      <c r="AO573" s="656"/>
    </row>
    <row r="574" spans="3:41" hidden="1" x14ac:dyDescent="0.2">
      <c r="C574" s="179" t="str">
        <f t="shared" ref="C574:D593" si="255">C217</f>
        <v>Business</v>
      </c>
      <c r="D574" s="179" t="str">
        <f t="shared" si="255"/>
        <v>Inner CBD</v>
      </c>
      <c r="E574" s="179"/>
      <c r="F574" s="179">
        <f>F217*'WK3 - Notional GI Yr1 YIELD'!$D35</f>
        <v>1932627.06</v>
      </c>
      <c r="G574" s="179">
        <f>G217*'WK3 - Notional GI Yr1 YIELD'!$D35</f>
        <v>1980942.7365000001</v>
      </c>
      <c r="H574" s="179">
        <f>H217*'WK3 - Notional GI Yr1 YIELD'!$D35</f>
        <v>2030466.3049124996</v>
      </c>
      <c r="I574" s="179">
        <f>I217*'WK3 - Notional GI Yr1 YIELD'!$D35</f>
        <v>2081227.9625353119</v>
      </c>
      <c r="J574" s="179">
        <f>J217*'WK3 - Notional GI Yr1 YIELD'!$D35</f>
        <v>2133258.6615986945</v>
      </c>
      <c r="K574" s="179">
        <f>K217*'WK3 - Notional GI Yr1 YIELD'!$D35</f>
        <v>0</v>
      </c>
      <c r="L574" s="179">
        <f>L217*'WK3 - Notional GI Yr1 YIELD'!$D35</f>
        <v>0</v>
      </c>
      <c r="M574" s="179"/>
      <c r="N574" s="179"/>
      <c r="O574" s="179"/>
      <c r="P574" s="179"/>
      <c r="Q574" s="179"/>
      <c r="R574" s="179"/>
      <c r="S574" s="179"/>
      <c r="T574" s="179"/>
      <c r="U574" s="179"/>
      <c r="V574" s="179"/>
      <c r="W574" s="179"/>
      <c r="X574" s="179"/>
      <c r="Y574" s="179"/>
      <c r="Z574" s="179"/>
      <c r="AA574" s="179"/>
      <c r="AB574" s="179"/>
      <c r="AC574" s="179"/>
      <c r="AD574" s="179"/>
      <c r="AE574" s="179"/>
      <c r="AF574" s="179"/>
      <c r="AG574" s="179"/>
      <c r="AH574" s="179"/>
      <c r="AI574" s="179"/>
      <c r="AJ574" s="179"/>
      <c r="AK574" s="179"/>
      <c r="AL574" s="179"/>
      <c r="AM574" s="179"/>
      <c r="AN574" s="179"/>
      <c r="AO574" s="179"/>
    </row>
    <row r="575" spans="3:41" hidden="1" x14ac:dyDescent="0.2">
      <c r="C575" s="179" t="str">
        <f t="shared" si="255"/>
        <v>Business</v>
      </c>
      <c r="D575" s="179" t="str">
        <f t="shared" ref="D575:D593" si="256">D218</f>
        <v>Urban</v>
      </c>
      <c r="E575" s="179"/>
      <c r="F575" s="179">
        <f>F218*'WK3 - Notional GI Yr1 YIELD'!$D36</f>
        <v>3816954.0700000003</v>
      </c>
      <c r="G575" s="179">
        <f>G218*'WK3 - Notional GI Yr1 YIELD'!$D36</f>
        <v>3912377.9217499997</v>
      </c>
      <c r="H575" s="179">
        <f>H218*'WK3 - Notional GI Yr1 YIELD'!$D36</f>
        <v>4010187.3697937489</v>
      </c>
      <c r="I575" s="179">
        <f>I218*'WK3 - Notional GI Yr1 YIELD'!$D36</f>
        <v>4110442.0540385921</v>
      </c>
      <c r="J575" s="179">
        <f>J218*'WK3 - Notional GI Yr1 YIELD'!$D36</f>
        <v>4213203.1053895568</v>
      </c>
      <c r="K575" s="179">
        <f>K218*'WK3 - Notional GI Yr1 YIELD'!$D36</f>
        <v>0</v>
      </c>
      <c r="L575" s="179">
        <f>L218*'WK3 - Notional GI Yr1 YIELD'!$D36</f>
        <v>0</v>
      </c>
      <c r="M575" s="179"/>
      <c r="N575" s="179"/>
      <c r="O575" s="179"/>
      <c r="P575" s="179"/>
      <c r="Q575" s="179"/>
      <c r="R575" s="179"/>
      <c r="S575" s="179"/>
      <c r="T575" s="179"/>
      <c r="U575" s="179"/>
      <c r="V575" s="179"/>
      <c r="W575" s="179"/>
      <c r="X575" s="179"/>
      <c r="Y575" s="179"/>
      <c r="Z575" s="179"/>
      <c r="AA575" s="179"/>
      <c r="AB575" s="179"/>
      <c r="AC575" s="179"/>
      <c r="AD575" s="179"/>
      <c r="AE575" s="179"/>
      <c r="AF575" s="179"/>
      <c r="AG575" s="179"/>
      <c r="AH575" s="179"/>
      <c r="AI575" s="179"/>
      <c r="AJ575" s="179"/>
      <c r="AK575" s="179"/>
      <c r="AL575" s="179"/>
      <c r="AM575" s="179"/>
      <c r="AN575" s="179"/>
      <c r="AO575" s="179"/>
    </row>
    <row r="576" spans="3:41" hidden="1" x14ac:dyDescent="0.2">
      <c r="C576" s="179" t="str">
        <f t="shared" si="255"/>
        <v>Business</v>
      </c>
      <c r="D576" s="179" t="str">
        <f t="shared" si="256"/>
        <v>Other</v>
      </c>
      <c r="E576" s="179"/>
      <c r="F576" s="179">
        <f>F219*'WK3 - Notional GI Yr1 YIELD'!$D37</f>
        <v>145626.58971002998</v>
      </c>
      <c r="G576" s="179">
        <f>G219*'WK3 - Notional GI Yr1 YIELD'!$D37</f>
        <v>149267.2544527807</v>
      </c>
      <c r="H576" s="179">
        <f>H219*'WK3 - Notional GI Yr1 YIELD'!$D37</f>
        <v>152998.93581410023</v>
      </c>
      <c r="I576" s="179">
        <f>I219*'WK3 - Notional GI Yr1 YIELD'!$D37</f>
        <v>156823.90920945272</v>
      </c>
      <c r="J576" s="179">
        <f>J219*'WK3 - Notional GI Yr1 YIELD'!$D37</f>
        <v>160744.50693968902</v>
      </c>
      <c r="K576" s="179">
        <f>K219*'WK3 - Notional GI Yr1 YIELD'!$D37</f>
        <v>0</v>
      </c>
      <c r="L576" s="179">
        <f>L219*'WK3 - Notional GI Yr1 YIELD'!$D37</f>
        <v>0</v>
      </c>
      <c r="M576" s="179"/>
      <c r="N576" s="179"/>
      <c r="O576" s="179"/>
      <c r="P576" s="179"/>
      <c r="Q576" s="179"/>
      <c r="R576" s="179"/>
      <c r="S576" s="179"/>
      <c r="T576" s="179"/>
      <c r="U576" s="179"/>
      <c r="V576" s="179"/>
      <c r="W576" s="179"/>
      <c r="X576" s="179"/>
      <c r="Y576" s="179"/>
      <c r="Z576" s="179"/>
      <c r="AA576" s="179"/>
      <c r="AB576" s="179"/>
      <c r="AC576" s="179"/>
      <c r="AD576" s="179"/>
      <c r="AE576" s="179"/>
      <c r="AF576" s="179"/>
      <c r="AG576" s="179"/>
      <c r="AH576" s="179"/>
      <c r="AI576" s="179"/>
      <c r="AJ576" s="179"/>
      <c r="AK576" s="179"/>
      <c r="AL576" s="179"/>
      <c r="AM576" s="179"/>
      <c r="AN576" s="179"/>
      <c r="AO576" s="179"/>
    </row>
    <row r="577" spans="3:41" hidden="1" x14ac:dyDescent="0.2">
      <c r="C577" s="179" t="str">
        <f t="shared" si="255"/>
        <v>Business</v>
      </c>
      <c r="D577" s="179" t="str">
        <f t="shared" si="256"/>
        <v>Nimbin</v>
      </c>
      <c r="E577" s="179"/>
      <c r="F577" s="179">
        <f>F220*'WK3 - Notional GI Yr1 YIELD'!$D38</f>
        <v>95077.054894800007</v>
      </c>
      <c r="G577" s="179">
        <f>G220*'WK3 - Notional GI Yr1 YIELD'!$D38</f>
        <v>97453.981267170006</v>
      </c>
      <c r="H577" s="179">
        <f>H220*'WK3 - Notional GI Yr1 YIELD'!$D38</f>
        <v>99890.330798849245</v>
      </c>
      <c r="I577" s="179">
        <f>I220*'WK3 - Notional GI Yr1 YIELD'!$D38</f>
        <v>102387.58906882047</v>
      </c>
      <c r="J577" s="179">
        <f>J220*'WK3 - Notional GI Yr1 YIELD'!$D38</f>
        <v>104947.27879554097</v>
      </c>
      <c r="K577" s="179">
        <f>K220*'WK3 - Notional GI Yr1 YIELD'!$D38</f>
        <v>0</v>
      </c>
      <c r="L577" s="179">
        <f>L220*'WK3 - Notional GI Yr1 YIELD'!$D38</f>
        <v>0</v>
      </c>
      <c r="M577" s="179"/>
      <c r="N577" s="179"/>
      <c r="O577" s="179"/>
      <c r="P577" s="179"/>
      <c r="Q577" s="179"/>
      <c r="R577" s="179"/>
      <c r="S577" s="179"/>
      <c r="T577" s="179"/>
      <c r="U577" s="179"/>
      <c r="V577" s="179"/>
      <c r="W577" s="179"/>
      <c r="X577" s="179"/>
      <c r="Y577" s="179"/>
      <c r="Z577" s="179"/>
      <c r="AA577" s="179"/>
      <c r="AB577" s="179"/>
      <c r="AC577" s="179"/>
      <c r="AD577" s="179"/>
      <c r="AE577" s="179"/>
      <c r="AF577" s="179"/>
      <c r="AG577" s="179"/>
      <c r="AH577" s="179"/>
      <c r="AI577" s="179"/>
      <c r="AJ577" s="179"/>
      <c r="AK577" s="179"/>
      <c r="AL577" s="179"/>
      <c r="AM577" s="179"/>
      <c r="AN577" s="179"/>
      <c r="AO577" s="179"/>
    </row>
    <row r="578" spans="3:41" hidden="1" x14ac:dyDescent="0.2">
      <c r="C578" s="179" t="str">
        <f t="shared" si="255"/>
        <v>Business</v>
      </c>
      <c r="D578" s="179" t="str">
        <f t="shared" si="256"/>
        <v/>
      </c>
      <c r="E578" s="179"/>
      <c r="F578" s="179">
        <f>F221*'WK3 - Notional GI Yr1 YIELD'!$D39</f>
        <v>0</v>
      </c>
      <c r="G578" s="179">
        <f>G221*'WK3 - Notional GI Yr1 YIELD'!$D39</f>
        <v>0</v>
      </c>
      <c r="H578" s="179">
        <f>H221*'WK3 - Notional GI Yr1 YIELD'!$D39</f>
        <v>0</v>
      </c>
      <c r="I578" s="179">
        <f>I221*'WK3 - Notional GI Yr1 YIELD'!$D39</f>
        <v>0</v>
      </c>
      <c r="J578" s="179">
        <f>J221*'WK3 - Notional GI Yr1 YIELD'!$D39</f>
        <v>0</v>
      </c>
      <c r="K578" s="179">
        <f>K221*'WK3 - Notional GI Yr1 YIELD'!$D39</f>
        <v>0</v>
      </c>
      <c r="L578" s="179">
        <f>L221*'WK3 - Notional GI Yr1 YIELD'!$D39</f>
        <v>0</v>
      </c>
      <c r="M578" s="179"/>
      <c r="N578" s="179"/>
      <c r="O578" s="179"/>
      <c r="P578" s="179"/>
      <c r="Q578" s="179"/>
      <c r="R578" s="179"/>
      <c r="S578" s="179"/>
      <c r="T578" s="179"/>
      <c r="U578" s="179"/>
      <c r="V578" s="179"/>
      <c r="W578" s="179"/>
      <c r="X578" s="179"/>
      <c r="Y578" s="179"/>
      <c r="Z578" s="179"/>
      <c r="AA578" s="179"/>
      <c r="AB578" s="179"/>
      <c r="AC578" s="179"/>
      <c r="AD578" s="179"/>
      <c r="AE578" s="179"/>
      <c r="AF578" s="179"/>
      <c r="AG578" s="179"/>
      <c r="AH578" s="179"/>
      <c r="AI578" s="179"/>
      <c r="AJ578" s="179"/>
      <c r="AK578" s="179"/>
      <c r="AL578" s="179"/>
      <c r="AM578" s="179"/>
      <c r="AN578" s="179"/>
      <c r="AO578" s="179"/>
    </row>
    <row r="579" spans="3:41" hidden="1" x14ac:dyDescent="0.2">
      <c r="C579" s="179" t="str">
        <f t="shared" si="255"/>
        <v>Business</v>
      </c>
      <c r="D579" s="179" t="str">
        <f t="shared" si="256"/>
        <v/>
      </c>
      <c r="E579" s="179"/>
      <c r="F579" s="179">
        <f>F222*'WK3 - Notional GI Yr1 YIELD'!$D40</f>
        <v>0</v>
      </c>
      <c r="G579" s="179">
        <f>G222*'WK3 - Notional GI Yr1 YIELD'!$D40</f>
        <v>0</v>
      </c>
      <c r="H579" s="179">
        <f>H222*'WK3 - Notional GI Yr1 YIELD'!$D40</f>
        <v>0</v>
      </c>
      <c r="I579" s="179">
        <f>I222*'WK3 - Notional GI Yr1 YIELD'!$D40</f>
        <v>0</v>
      </c>
      <c r="J579" s="179">
        <f>J222*'WK3 - Notional GI Yr1 YIELD'!$D40</f>
        <v>0</v>
      </c>
      <c r="K579" s="179">
        <f>K222*'WK3 - Notional GI Yr1 YIELD'!$D40</f>
        <v>0</v>
      </c>
      <c r="L579" s="179">
        <f>L222*'WK3 - Notional GI Yr1 YIELD'!$D40</f>
        <v>0</v>
      </c>
      <c r="M579" s="179"/>
      <c r="N579" s="179"/>
      <c r="O579" s="179"/>
      <c r="P579" s="179"/>
      <c r="Q579" s="179"/>
      <c r="R579" s="179"/>
      <c r="S579" s="179"/>
      <c r="T579" s="179"/>
      <c r="U579" s="179"/>
      <c r="V579" s="179"/>
      <c r="W579" s="179"/>
      <c r="X579" s="179"/>
      <c r="Y579" s="179"/>
      <c r="Z579" s="179"/>
      <c r="AA579" s="179"/>
      <c r="AB579" s="179"/>
      <c r="AC579" s="179"/>
      <c r="AD579" s="179"/>
      <c r="AE579" s="179"/>
      <c r="AF579" s="179"/>
      <c r="AG579" s="179"/>
      <c r="AH579" s="179"/>
      <c r="AI579" s="179"/>
      <c r="AJ579" s="179"/>
      <c r="AK579" s="179"/>
      <c r="AL579" s="179"/>
      <c r="AM579" s="179"/>
      <c r="AN579" s="179"/>
      <c r="AO579" s="179"/>
    </row>
    <row r="580" spans="3:41" hidden="1" x14ac:dyDescent="0.2">
      <c r="C580" s="179" t="str">
        <f t="shared" si="255"/>
        <v>Business</v>
      </c>
      <c r="D580" s="179" t="str">
        <f t="shared" si="256"/>
        <v/>
      </c>
      <c r="E580" s="179"/>
      <c r="F580" s="179">
        <f>F223*'WK3 - Notional GI Yr1 YIELD'!$D41</f>
        <v>0</v>
      </c>
      <c r="G580" s="179">
        <f>G223*'WK3 - Notional GI Yr1 YIELD'!$D41</f>
        <v>0</v>
      </c>
      <c r="H580" s="179">
        <f>H223*'WK3 - Notional GI Yr1 YIELD'!$D41</f>
        <v>0</v>
      </c>
      <c r="I580" s="179">
        <f>I223*'WK3 - Notional GI Yr1 YIELD'!$D41</f>
        <v>0</v>
      </c>
      <c r="J580" s="179">
        <f>J223*'WK3 - Notional GI Yr1 YIELD'!$D41</f>
        <v>0</v>
      </c>
      <c r="K580" s="179">
        <f>K223*'WK3 - Notional GI Yr1 YIELD'!$D41</f>
        <v>0</v>
      </c>
      <c r="L580" s="179">
        <f>L223*'WK3 - Notional GI Yr1 YIELD'!$D41</f>
        <v>0</v>
      </c>
      <c r="M580" s="179"/>
      <c r="N580" s="179"/>
      <c r="O580" s="179"/>
      <c r="P580" s="179"/>
      <c r="Q580" s="179"/>
      <c r="R580" s="179"/>
      <c r="S580" s="179"/>
      <c r="T580" s="179"/>
      <c r="U580" s="179"/>
      <c r="V580" s="179"/>
      <c r="W580" s="179"/>
      <c r="X580" s="179"/>
      <c r="Y580" s="179"/>
      <c r="Z580" s="179"/>
      <c r="AA580" s="179"/>
      <c r="AB580" s="179"/>
      <c r="AC580" s="179"/>
      <c r="AD580" s="179"/>
      <c r="AE580" s="179"/>
      <c r="AF580" s="179"/>
      <c r="AG580" s="179"/>
      <c r="AH580" s="179"/>
      <c r="AI580" s="179"/>
      <c r="AJ580" s="179"/>
      <c r="AK580" s="179"/>
      <c r="AL580" s="179"/>
      <c r="AM580" s="179"/>
      <c r="AN580" s="179"/>
      <c r="AO580" s="179"/>
    </row>
    <row r="581" spans="3:41" hidden="1" x14ac:dyDescent="0.2">
      <c r="C581" s="179" t="str">
        <f t="shared" si="255"/>
        <v>Business</v>
      </c>
      <c r="D581" s="179" t="str">
        <f t="shared" si="256"/>
        <v/>
      </c>
      <c r="E581" s="179"/>
      <c r="F581" s="179">
        <f>F224*'WK3 - Notional GI Yr1 YIELD'!$D42</f>
        <v>0</v>
      </c>
      <c r="G581" s="179">
        <f>G224*'WK3 - Notional GI Yr1 YIELD'!$D42</f>
        <v>0</v>
      </c>
      <c r="H581" s="179">
        <f>H224*'WK3 - Notional GI Yr1 YIELD'!$D42</f>
        <v>0</v>
      </c>
      <c r="I581" s="179">
        <f>I224*'WK3 - Notional GI Yr1 YIELD'!$D42</f>
        <v>0</v>
      </c>
      <c r="J581" s="179">
        <f>J224*'WK3 - Notional GI Yr1 YIELD'!$D42</f>
        <v>0</v>
      </c>
      <c r="K581" s="179">
        <f>K224*'WK3 - Notional GI Yr1 YIELD'!$D42</f>
        <v>0</v>
      </c>
      <c r="L581" s="179">
        <f>L224*'WK3 - Notional GI Yr1 YIELD'!$D42</f>
        <v>0</v>
      </c>
      <c r="M581" s="179"/>
      <c r="N581" s="179"/>
      <c r="O581" s="179"/>
      <c r="P581" s="179"/>
      <c r="Q581" s="179"/>
      <c r="R581" s="179"/>
      <c r="S581" s="179"/>
      <c r="T581" s="179"/>
      <c r="U581" s="179"/>
      <c r="V581" s="179"/>
      <c r="W581" s="179"/>
      <c r="X581" s="179"/>
      <c r="Y581" s="179"/>
      <c r="Z581" s="179"/>
      <c r="AA581" s="179"/>
      <c r="AB581" s="179"/>
      <c r="AC581" s="179"/>
      <c r="AD581" s="179"/>
      <c r="AE581" s="179"/>
      <c r="AF581" s="179"/>
      <c r="AG581" s="179"/>
      <c r="AH581" s="179"/>
      <c r="AI581" s="179"/>
      <c r="AJ581" s="179"/>
      <c r="AK581" s="179"/>
      <c r="AL581" s="179"/>
      <c r="AM581" s="179"/>
      <c r="AN581" s="179"/>
      <c r="AO581" s="179"/>
    </row>
    <row r="582" spans="3:41" hidden="1" x14ac:dyDescent="0.2">
      <c r="C582" s="179" t="str">
        <f t="shared" si="255"/>
        <v>Business</v>
      </c>
      <c r="D582" s="179" t="str">
        <f t="shared" si="256"/>
        <v/>
      </c>
      <c r="E582" s="179"/>
      <c r="F582" s="179">
        <f>F225*'WK3 - Notional GI Yr1 YIELD'!$D43</f>
        <v>0</v>
      </c>
      <c r="G582" s="179">
        <f>G225*'WK3 - Notional GI Yr1 YIELD'!$D43</f>
        <v>0</v>
      </c>
      <c r="H582" s="179">
        <f>H225*'WK3 - Notional GI Yr1 YIELD'!$D43</f>
        <v>0</v>
      </c>
      <c r="I582" s="179">
        <f>I225*'WK3 - Notional GI Yr1 YIELD'!$D43</f>
        <v>0</v>
      </c>
      <c r="J582" s="179">
        <f>J225*'WK3 - Notional GI Yr1 YIELD'!$D43</f>
        <v>0</v>
      </c>
      <c r="K582" s="179">
        <f>K225*'WK3 - Notional GI Yr1 YIELD'!$D43</f>
        <v>0</v>
      </c>
      <c r="L582" s="179">
        <f>L225*'WK3 - Notional GI Yr1 YIELD'!$D43</f>
        <v>0</v>
      </c>
      <c r="M582" s="179"/>
      <c r="N582" s="179"/>
      <c r="O582" s="179"/>
      <c r="P582" s="179"/>
      <c r="Q582" s="179"/>
      <c r="R582" s="179"/>
      <c r="S582" s="179"/>
      <c r="T582" s="179"/>
      <c r="U582" s="179"/>
      <c r="V582" s="179"/>
      <c r="W582" s="179"/>
      <c r="X582" s="179"/>
      <c r="Y582" s="179"/>
      <c r="Z582" s="179"/>
      <c r="AA582" s="179"/>
      <c r="AB582" s="179"/>
      <c r="AC582" s="179"/>
      <c r="AD582" s="179"/>
      <c r="AE582" s="179"/>
      <c r="AF582" s="179"/>
      <c r="AG582" s="179"/>
      <c r="AH582" s="179"/>
      <c r="AI582" s="179"/>
      <c r="AJ582" s="179"/>
      <c r="AK582" s="179"/>
      <c r="AL582" s="179"/>
      <c r="AM582" s="179"/>
      <c r="AN582" s="179"/>
      <c r="AO582" s="179"/>
    </row>
    <row r="583" spans="3:41" hidden="1" x14ac:dyDescent="0.2">
      <c r="C583" s="179" t="str">
        <f t="shared" si="255"/>
        <v>Business</v>
      </c>
      <c r="D583" s="179" t="str">
        <f t="shared" si="256"/>
        <v/>
      </c>
      <c r="E583" s="179"/>
      <c r="F583" s="179">
        <f>F226*'WK3 - Notional GI Yr1 YIELD'!$D44</f>
        <v>0</v>
      </c>
      <c r="G583" s="179">
        <f>G226*'WK3 - Notional GI Yr1 YIELD'!$D44</f>
        <v>0</v>
      </c>
      <c r="H583" s="179">
        <f>H226*'WK3 - Notional GI Yr1 YIELD'!$D44</f>
        <v>0</v>
      </c>
      <c r="I583" s="179">
        <f>I226*'WK3 - Notional GI Yr1 YIELD'!$D44</f>
        <v>0</v>
      </c>
      <c r="J583" s="179">
        <f>J226*'WK3 - Notional GI Yr1 YIELD'!$D44</f>
        <v>0</v>
      </c>
      <c r="K583" s="179">
        <f>K226*'WK3 - Notional GI Yr1 YIELD'!$D44</f>
        <v>0</v>
      </c>
      <c r="L583" s="179">
        <f>L226*'WK3 - Notional GI Yr1 YIELD'!$D44</f>
        <v>0</v>
      </c>
      <c r="M583" s="179"/>
      <c r="N583" s="179"/>
      <c r="O583" s="179"/>
      <c r="P583" s="179"/>
      <c r="Q583" s="179"/>
      <c r="R583" s="179"/>
      <c r="S583" s="179"/>
      <c r="T583" s="179"/>
      <c r="U583" s="179"/>
      <c r="V583" s="179"/>
      <c r="W583" s="179"/>
      <c r="X583" s="179"/>
      <c r="Y583" s="179"/>
      <c r="Z583" s="179"/>
      <c r="AA583" s="179"/>
      <c r="AB583" s="179"/>
      <c r="AC583" s="179"/>
      <c r="AD583" s="179"/>
      <c r="AE583" s="179"/>
      <c r="AF583" s="179"/>
      <c r="AG583" s="179"/>
      <c r="AH583" s="179"/>
      <c r="AI583" s="179"/>
      <c r="AJ583" s="179"/>
      <c r="AK583" s="179"/>
      <c r="AL583" s="179"/>
      <c r="AM583" s="179"/>
      <c r="AN583" s="179"/>
      <c r="AO583" s="179"/>
    </row>
    <row r="584" spans="3:41" hidden="1" x14ac:dyDescent="0.2">
      <c r="C584" s="179" t="str">
        <f t="shared" si="255"/>
        <v>Business</v>
      </c>
      <c r="D584" s="179" t="str">
        <f t="shared" si="256"/>
        <v/>
      </c>
      <c r="E584" s="179"/>
      <c r="F584" s="179">
        <f>F227*'WK3 - Notional GI Yr1 YIELD'!$D45</f>
        <v>0</v>
      </c>
      <c r="G584" s="179">
        <f>G227*'WK3 - Notional GI Yr1 YIELD'!$D45</f>
        <v>0</v>
      </c>
      <c r="H584" s="179">
        <f>H227*'WK3 - Notional GI Yr1 YIELD'!$D45</f>
        <v>0</v>
      </c>
      <c r="I584" s="179">
        <f>I227*'WK3 - Notional GI Yr1 YIELD'!$D45</f>
        <v>0</v>
      </c>
      <c r="J584" s="179">
        <f>J227*'WK3 - Notional GI Yr1 YIELD'!$D45</f>
        <v>0</v>
      </c>
      <c r="K584" s="179">
        <f>K227*'WK3 - Notional GI Yr1 YIELD'!$D45</f>
        <v>0</v>
      </c>
      <c r="L584" s="179">
        <f>L227*'WK3 - Notional GI Yr1 YIELD'!$D45</f>
        <v>0</v>
      </c>
      <c r="M584" s="179"/>
      <c r="N584" s="179"/>
      <c r="O584" s="179"/>
      <c r="P584" s="179"/>
      <c r="Q584" s="179"/>
      <c r="R584" s="179"/>
      <c r="S584" s="179"/>
      <c r="T584" s="179"/>
      <c r="U584" s="179"/>
      <c r="V584" s="179"/>
      <c r="W584" s="179"/>
      <c r="X584" s="179"/>
      <c r="Y584" s="179"/>
      <c r="Z584" s="179"/>
      <c r="AA584" s="179"/>
      <c r="AB584" s="179"/>
      <c r="AC584" s="179"/>
      <c r="AD584" s="179"/>
      <c r="AE584" s="179"/>
      <c r="AF584" s="179"/>
      <c r="AG584" s="179"/>
      <c r="AH584" s="179"/>
      <c r="AI584" s="179"/>
      <c r="AJ584" s="179"/>
      <c r="AK584" s="179"/>
      <c r="AL584" s="179"/>
      <c r="AM584" s="179"/>
      <c r="AN584" s="179"/>
      <c r="AO584" s="179"/>
    </row>
    <row r="585" spans="3:41" hidden="1" x14ac:dyDescent="0.2">
      <c r="C585" s="179" t="str">
        <f t="shared" si="255"/>
        <v>Business</v>
      </c>
      <c r="D585" s="179" t="str">
        <f t="shared" si="256"/>
        <v/>
      </c>
      <c r="E585" s="179"/>
      <c r="F585" s="179">
        <f>F228*'WK3 - Notional GI Yr1 YIELD'!$D46</f>
        <v>0</v>
      </c>
      <c r="G585" s="179">
        <f>G228*'WK3 - Notional GI Yr1 YIELD'!$D46</f>
        <v>0</v>
      </c>
      <c r="H585" s="179">
        <f>H228*'WK3 - Notional GI Yr1 YIELD'!$D46</f>
        <v>0</v>
      </c>
      <c r="I585" s="179">
        <f>I228*'WK3 - Notional GI Yr1 YIELD'!$D46</f>
        <v>0</v>
      </c>
      <c r="J585" s="179">
        <f>J228*'WK3 - Notional GI Yr1 YIELD'!$D46</f>
        <v>0</v>
      </c>
      <c r="K585" s="179">
        <f>K228*'WK3 - Notional GI Yr1 YIELD'!$D46</f>
        <v>0</v>
      </c>
      <c r="L585" s="179">
        <f>L228*'WK3 - Notional GI Yr1 YIELD'!$D46</f>
        <v>0</v>
      </c>
      <c r="M585" s="179"/>
      <c r="N585" s="179"/>
      <c r="O585" s="179"/>
      <c r="P585" s="179"/>
      <c r="Q585" s="179"/>
      <c r="R585" s="179"/>
      <c r="S585" s="179"/>
      <c r="T585" s="179"/>
      <c r="U585" s="179"/>
      <c r="V585" s="179"/>
      <c r="W585" s="179"/>
      <c r="X585" s="179"/>
      <c r="Y585" s="179"/>
      <c r="Z585" s="179"/>
      <c r="AA585" s="179"/>
      <c r="AB585" s="179"/>
      <c r="AC585" s="179"/>
      <c r="AD585" s="179"/>
      <c r="AE585" s="179"/>
      <c r="AF585" s="179"/>
      <c r="AG585" s="179"/>
      <c r="AH585" s="179"/>
      <c r="AI585" s="179"/>
      <c r="AJ585" s="179"/>
      <c r="AK585" s="179"/>
      <c r="AL585" s="179"/>
      <c r="AM585" s="179"/>
      <c r="AN585" s="179"/>
      <c r="AO585" s="179"/>
    </row>
    <row r="586" spans="3:41" hidden="1" x14ac:dyDescent="0.2">
      <c r="C586" s="179" t="str">
        <f t="shared" si="255"/>
        <v>Business</v>
      </c>
      <c r="D586" s="179" t="str">
        <f t="shared" si="256"/>
        <v/>
      </c>
      <c r="E586" s="179"/>
      <c r="F586" s="179">
        <f>F229*'WK3 - Notional GI Yr1 YIELD'!$D47</f>
        <v>0</v>
      </c>
      <c r="G586" s="179">
        <f>G229*'WK3 - Notional GI Yr1 YIELD'!$D47</f>
        <v>0</v>
      </c>
      <c r="H586" s="179">
        <f>H229*'WK3 - Notional GI Yr1 YIELD'!$D47</f>
        <v>0</v>
      </c>
      <c r="I586" s="179">
        <f>I229*'WK3 - Notional GI Yr1 YIELD'!$D47</f>
        <v>0</v>
      </c>
      <c r="J586" s="179">
        <f>J229*'WK3 - Notional GI Yr1 YIELD'!$D47</f>
        <v>0</v>
      </c>
      <c r="K586" s="179">
        <f>K229*'WK3 - Notional GI Yr1 YIELD'!$D47</f>
        <v>0</v>
      </c>
      <c r="L586" s="179">
        <f>L229*'WK3 - Notional GI Yr1 YIELD'!$D47</f>
        <v>0</v>
      </c>
      <c r="M586" s="179"/>
      <c r="N586" s="179"/>
      <c r="O586" s="179"/>
      <c r="P586" s="179"/>
      <c r="Q586" s="179"/>
      <c r="R586" s="179"/>
      <c r="S586" s="179"/>
      <c r="T586" s="179"/>
      <c r="U586" s="179"/>
      <c r="V586" s="179"/>
      <c r="W586" s="179"/>
      <c r="X586" s="179"/>
      <c r="Y586" s="179"/>
      <c r="Z586" s="179"/>
      <c r="AA586" s="179"/>
      <c r="AB586" s="179"/>
      <c r="AC586" s="179"/>
      <c r="AD586" s="179"/>
      <c r="AE586" s="179"/>
      <c r="AF586" s="179"/>
      <c r="AG586" s="179"/>
      <c r="AH586" s="179"/>
      <c r="AI586" s="179"/>
      <c r="AJ586" s="179"/>
      <c r="AK586" s="179"/>
      <c r="AL586" s="179"/>
      <c r="AM586" s="179"/>
      <c r="AN586" s="179"/>
      <c r="AO586" s="179"/>
    </row>
    <row r="587" spans="3:41" hidden="1" x14ac:dyDescent="0.2">
      <c r="C587" s="179" t="str">
        <f t="shared" si="255"/>
        <v>Business</v>
      </c>
      <c r="D587" s="179" t="str">
        <f t="shared" si="256"/>
        <v/>
      </c>
      <c r="E587" s="179"/>
      <c r="F587" s="179">
        <f>F230*'WK3 - Notional GI Yr1 YIELD'!$D48</f>
        <v>0</v>
      </c>
      <c r="G587" s="179">
        <f>G230*'WK3 - Notional GI Yr1 YIELD'!$D48</f>
        <v>0</v>
      </c>
      <c r="H587" s="179">
        <f>H230*'WK3 - Notional GI Yr1 YIELD'!$D48</f>
        <v>0</v>
      </c>
      <c r="I587" s="179">
        <f>I230*'WK3 - Notional GI Yr1 YIELD'!$D48</f>
        <v>0</v>
      </c>
      <c r="J587" s="179">
        <f>J230*'WK3 - Notional GI Yr1 YIELD'!$D48</f>
        <v>0</v>
      </c>
      <c r="K587" s="179">
        <f>K230*'WK3 - Notional GI Yr1 YIELD'!$D48</f>
        <v>0</v>
      </c>
      <c r="L587" s="179">
        <f>L230*'WK3 - Notional GI Yr1 YIELD'!$D48</f>
        <v>0</v>
      </c>
      <c r="M587" s="179"/>
      <c r="N587" s="179"/>
      <c r="O587" s="179"/>
      <c r="P587" s="179"/>
      <c r="Q587" s="179"/>
      <c r="R587" s="179"/>
      <c r="S587" s="179"/>
      <c r="T587" s="179"/>
      <c r="U587" s="179"/>
      <c r="V587" s="179"/>
      <c r="W587" s="179"/>
      <c r="X587" s="179"/>
      <c r="Y587" s="179"/>
      <c r="Z587" s="179"/>
      <c r="AA587" s="179"/>
      <c r="AB587" s="179"/>
      <c r="AC587" s="179"/>
      <c r="AD587" s="179"/>
      <c r="AE587" s="179"/>
      <c r="AF587" s="179"/>
      <c r="AG587" s="179"/>
      <c r="AH587" s="179"/>
      <c r="AI587" s="179"/>
      <c r="AJ587" s="179"/>
      <c r="AK587" s="179"/>
      <c r="AL587" s="179"/>
      <c r="AM587" s="179"/>
      <c r="AN587" s="179"/>
      <c r="AO587" s="179"/>
    </row>
    <row r="588" spans="3:41" hidden="1" x14ac:dyDescent="0.2">
      <c r="C588" s="179" t="str">
        <f t="shared" si="255"/>
        <v>Business</v>
      </c>
      <c r="D588" s="179" t="str">
        <f t="shared" si="256"/>
        <v/>
      </c>
      <c r="E588" s="179"/>
      <c r="F588" s="179">
        <f>F231*'WK3 - Notional GI Yr1 YIELD'!$D49</f>
        <v>0</v>
      </c>
      <c r="G588" s="179">
        <f>G231*'WK3 - Notional GI Yr1 YIELD'!$D49</f>
        <v>0</v>
      </c>
      <c r="H588" s="179">
        <f>H231*'WK3 - Notional GI Yr1 YIELD'!$D49</f>
        <v>0</v>
      </c>
      <c r="I588" s="179">
        <f>I231*'WK3 - Notional GI Yr1 YIELD'!$D49</f>
        <v>0</v>
      </c>
      <c r="J588" s="179">
        <f>J231*'WK3 - Notional GI Yr1 YIELD'!$D49</f>
        <v>0</v>
      </c>
      <c r="K588" s="179">
        <f>K231*'WK3 - Notional GI Yr1 YIELD'!$D49</f>
        <v>0</v>
      </c>
      <c r="L588" s="179">
        <f>L231*'WK3 - Notional GI Yr1 YIELD'!$D49</f>
        <v>0</v>
      </c>
      <c r="M588" s="179"/>
      <c r="N588" s="179"/>
      <c r="O588" s="179"/>
      <c r="P588" s="179"/>
      <c r="Q588" s="179"/>
      <c r="R588" s="179"/>
      <c r="S588" s="179"/>
      <c r="T588" s="179"/>
      <c r="U588" s="179"/>
      <c r="V588" s="179"/>
      <c r="W588" s="179"/>
      <c r="X588" s="179"/>
      <c r="Y588" s="179"/>
      <c r="Z588" s="179"/>
      <c r="AA588" s="179"/>
      <c r="AB588" s="179"/>
      <c r="AC588" s="179"/>
      <c r="AD588" s="179"/>
      <c r="AE588" s="179"/>
      <c r="AF588" s="179"/>
      <c r="AG588" s="179"/>
      <c r="AH588" s="179"/>
      <c r="AI588" s="179"/>
      <c r="AJ588" s="179"/>
      <c r="AK588" s="179"/>
      <c r="AL588" s="179"/>
      <c r="AM588" s="179"/>
      <c r="AN588" s="179"/>
      <c r="AO588" s="179"/>
    </row>
    <row r="589" spans="3:41" hidden="1" x14ac:dyDescent="0.2">
      <c r="C589" s="179" t="str">
        <f t="shared" si="255"/>
        <v>Business</v>
      </c>
      <c r="D589" s="179" t="str">
        <f t="shared" si="256"/>
        <v/>
      </c>
      <c r="E589" s="179"/>
      <c r="F589" s="179">
        <f>F232*'WK3 - Notional GI Yr1 YIELD'!$D50</f>
        <v>0</v>
      </c>
      <c r="G589" s="179">
        <f>G232*'WK3 - Notional GI Yr1 YIELD'!$D50</f>
        <v>0</v>
      </c>
      <c r="H589" s="179">
        <f>H232*'WK3 - Notional GI Yr1 YIELD'!$D50</f>
        <v>0</v>
      </c>
      <c r="I589" s="179">
        <f>I232*'WK3 - Notional GI Yr1 YIELD'!$D50</f>
        <v>0</v>
      </c>
      <c r="J589" s="179">
        <f>J232*'WK3 - Notional GI Yr1 YIELD'!$D50</f>
        <v>0</v>
      </c>
      <c r="K589" s="179">
        <f>K232*'WK3 - Notional GI Yr1 YIELD'!$D50</f>
        <v>0</v>
      </c>
      <c r="L589" s="179">
        <f>L232*'WK3 - Notional GI Yr1 YIELD'!$D50</f>
        <v>0</v>
      </c>
      <c r="M589" s="179"/>
      <c r="N589" s="179"/>
      <c r="O589" s="179"/>
      <c r="P589" s="179"/>
      <c r="Q589" s="179"/>
      <c r="R589" s="179"/>
      <c r="S589" s="179"/>
      <c r="T589" s="179"/>
      <c r="U589" s="179"/>
      <c r="V589" s="179"/>
      <c r="W589" s="179"/>
      <c r="X589" s="179"/>
      <c r="Y589" s="179"/>
      <c r="Z589" s="179"/>
      <c r="AA589" s="179"/>
      <c r="AB589" s="179"/>
      <c r="AC589" s="179"/>
      <c r="AD589" s="179"/>
      <c r="AE589" s="179"/>
      <c r="AF589" s="179"/>
      <c r="AG589" s="179"/>
      <c r="AH589" s="179"/>
      <c r="AI589" s="179"/>
      <c r="AJ589" s="179"/>
      <c r="AK589" s="179"/>
      <c r="AL589" s="179"/>
      <c r="AM589" s="179"/>
      <c r="AN589" s="179"/>
      <c r="AO589" s="179"/>
    </row>
    <row r="590" spans="3:41" hidden="1" x14ac:dyDescent="0.2">
      <c r="C590" s="179" t="str">
        <f t="shared" si="255"/>
        <v>Business</v>
      </c>
      <c r="D590" s="179" t="str">
        <f t="shared" si="256"/>
        <v/>
      </c>
      <c r="E590" s="179"/>
      <c r="F590" s="179">
        <f>F233*'WK3 - Notional GI Yr1 YIELD'!$D51</f>
        <v>0</v>
      </c>
      <c r="G590" s="179">
        <f>G233*'WK3 - Notional GI Yr1 YIELD'!$D51</f>
        <v>0</v>
      </c>
      <c r="H590" s="179">
        <f>H233*'WK3 - Notional GI Yr1 YIELD'!$D51</f>
        <v>0</v>
      </c>
      <c r="I590" s="179">
        <f>I233*'WK3 - Notional GI Yr1 YIELD'!$D51</f>
        <v>0</v>
      </c>
      <c r="J590" s="179">
        <f>J233*'WK3 - Notional GI Yr1 YIELD'!$D51</f>
        <v>0</v>
      </c>
      <c r="K590" s="179">
        <f>K233*'WK3 - Notional GI Yr1 YIELD'!$D51</f>
        <v>0</v>
      </c>
      <c r="L590" s="179">
        <f>L233*'WK3 - Notional GI Yr1 YIELD'!$D51</f>
        <v>0</v>
      </c>
      <c r="M590" s="179"/>
      <c r="N590" s="179"/>
      <c r="O590" s="179"/>
      <c r="P590" s="179"/>
      <c r="Q590" s="179"/>
      <c r="R590" s="179"/>
      <c r="S590" s="179"/>
      <c r="T590" s="179"/>
      <c r="U590" s="179"/>
      <c r="V590" s="179"/>
      <c r="W590" s="179"/>
      <c r="X590" s="179"/>
      <c r="Y590" s="179"/>
      <c r="Z590" s="179"/>
      <c r="AA590" s="179"/>
      <c r="AB590" s="179"/>
      <c r="AC590" s="179"/>
      <c r="AD590" s="179"/>
      <c r="AE590" s="179"/>
      <c r="AF590" s="179"/>
      <c r="AG590" s="179"/>
      <c r="AH590" s="179"/>
      <c r="AI590" s="179"/>
      <c r="AJ590" s="179"/>
      <c r="AK590" s="179"/>
      <c r="AL590" s="179"/>
      <c r="AM590" s="179"/>
      <c r="AN590" s="179"/>
      <c r="AO590" s="179"/>
    </row>
    <row r="591" spans="3:41" hidden="1" x14ac:dyDescent="0.2">
      <c r="C591" s="179" t="str">
        <f t="shared" si="255"/>
        <v>Business</v>
      </c>
      <c r="D591" s="179" t="str">
        <f t="shared" si="256"/>
        <v/>
      </c>
      <c r="E591" s="179"/>
      <c r="F591" s="179">
        <f>F234*'WK3 - Notional GI Yr1 YIELD'!$D52</f>
        <v>0</v>
      </c>
      <c r="G591" s="179">
        <f>G234*'WK3 - Notional GI Yr1 YIELD'!$D52</f>
        <v>0</v>
      </c>
      <c r="H591" s="179">
        <f>H234*'WK3 - Notional GI Yr1 YIELD'!$D52</f>
        <v>0</v>
      </c>
      <c r="I591" s="179">
        <f>I234*'WK3 - Notional GI Yr1 YIELD'!$D52</f>
        <v>0</v>
      </c>
      <c r="J591" s="179">
        <f>J234*'WK3 - Notional GI Yr1 YIELD'!$D52</f>
        <v>0</v>
      </c>
      <c r="K591" s="179">
        <f>K234*'WK3 - Notional GI Yr1 YIELD'!$D52</f>
        <v>0</v>
      </c>
      <c r="L591" s="179">
        <f>L234*'WK3 - Notional GI Yr1 YIELD'!$D52</f>
        <v>0</v>
      </c>
      <c r="M591" s="179"/>
      <c r="N591" s="179"/>
      <c r="O591" s="179"/>
      <c r="P591" s="179"/>
      <c r="Q591" s="179"/>
      <c r="R591" s="179"/>
      <c r="S591" s="179"/>
      <c r="T591" s="179"/>
      <c r="U591" s="179"/>
      <c r="V591" s="179"/>
      <c r="W591" s="179"/>
      <c r="X591" s="179"/>
      <c r="Y591" s="179"/>
      <c r="Z591" s="179"/>
      <c r="AA591" s="179"/>
      <c r="AB591" s="179"/>
      <c r="AC591" s="179"/>
      <c r="AD591" s="179"/>
      <c r="AE591" s="179"/>
      <c r="AF591" s="179"/>
      <c r="AG591" s="179"/>
      <c r="AH591" s="179"/>
      <c r="AI591" s="179"/>
      <c r="AJ591" s="179"/>
      <c r="AK591" s="179"/>
      <c r="AL591" s="179"/>
      <c r="AM591" s="179"/>
      <c r="AN591" s="179"/>
      <c r="AO591" s="179"/>
    </row>
    <row r="592" spans="3:41" hidden="1" x14ac:dyDescent="0.2">
      <c r="C592" s="179" t="str">
        <f t="shared" si="255"/>
        <v>Business</v>
      </c>
      <c r="D592" s="179" t="str">
        <f t="shared" si="256"/>
        <v/>
      </c>
      <c r="E592" s="179"/>
      <c r="F592" s="179">
        <f>F235*'WK3 - Notional GI Yr1 YIELD'!$D53</f>
        <v>0</v>
      </c>
      <c r="G592" s="179">
        <f>G235*'WK3 - Notional GI Yr1 YIELD'!$D53</f>
        <v>0</v>
      </c>
      <c r="H592" s="179">
        <f>H235*'WK3 - Notional GI Yr1 YIELD'!$D53</f>
        <v>0</v>
      </c>
      <c r="I592" s="179">
        <f>I235*'WK3 - Notional GI Yr1 YIELD'!$D53</f>
        <v>0</v>
      </c>
      <c r="J592" s="179">
        <f>J235*'WK3 - Notional GI Yr1 YIELD'!$D53</f>
        <v>0</v>
      </c>
      <c r="K592" s="179">
        <f>K235*'WK3 - Notional GI Yr1 YIELD'!$D53</f>
        <v>0</v>
      </c>
      <c r="L592" s="179">
        <f>L235*'WK3 - Notional GI Yr1 YIELD'!$D53</f>
        <v>0</v>
      </c>
      <c r="M592" s="179"/>
      <c r="N592" s="179"/>
      <c r="O592" s="179"/>
      <c r="P592" s="179"/>
      <c r="Q592" s="179"/>
      <c r="R592" s="179"/>
      <c r="S592" s="179"/>
      <c r="T592" s="179"/>
      <c r="U592" s="179"/>
      <c r="V592" s="179"/>
      <c r="W592" s="179"/>
      <c r="X592" s="179"/>
      <c r="Y592" s="179"/>
      <c r="Z592" s="179"/>
      <c r="AA592" s="179"/>
      <c r="AB592" s="179"/>
      <c r="AC592" s="179"/>
      <c r="AD592" s="179"/>
      <c r="AE592" s="179"/>
      <c r="AF592" s="179"/>
      <c r="AG592" s="179"/>
      <c r="AH592" s="179"/>
      <c r="AI592" s="179"/>
      <c r="AJ592" s="179"/>
      <c r="AK592" s="179"/>
      <c r="AL592" s="179"/>
      <c r="AM592" s="179"/>
      <c r="AN592" s="179"/>
      <c r="AO592" s="179"/>
    </row>
    <row r="593" spans="3:41" hidden="1" x14ac:dyDescent="0.2">
      <c r="C593" s="179" t="str">
        <f t="shared" si="255"/>
        <v>Business</v>
      </c>
      <c r="D593" s="179" t="str">
        <f t="shared" si="256"/>
        <v/>
      </c>
      <c r="E593" s="179"/>
      <c r="F593" s="179">
        <f>F236*'WK3 - Notional GI Yr1 YIELD'!$D54</f>
        <v>0</v>
      </c>
      <c r="G593" s="179">
        <f>G236*'WK3 - Notional GI Yr1 YIELD'!$D54</f>
        <v>0</v>
      </c>
      <c r="H593" s="179">
        <f>H236*'WK3 - Notional GI Yr1 YIELD'!$D54</f>
        <v>0</v>
      </c>
      <c r="I593" s="179">
        <f>I236*'WK3 - Notional GI Yr1 YIELD'!$D54</f>
        <v>0</v>
      </c>
      <c r="J593" s="179">
        <f>J236*'WK3 - Notional GI Yr1 YIELD'!$D54</f>
        <v>0</v>
      </c>
      <c r="K593" s="179">
        <f>K236*'WK3 - Notional GI Yr1 YIELD'!$D54</f>
        <v>0</v>
      </c>
      <c r="L593" s="179">
        <f>L236*'WK3 - Notional GI Yr1 YIELD'!$D54</f>
        <v>0</v>
      </c>
      <c r="M593" s="179"/>
      <c r="N593" s="179"/>
      <c r="O593" s="179"/>
      <c r="P593" s="179"/>
      <c r="Q593" s="179"/>
      <c r="R593" s="179"/>
      <c r="S593" s="179"/>
      <c r="T593" s="179"/>
      <c r="U593" s="179"/>
      <c r="V593" s="179"/>
      <c r="W593" s="179"/>
      <c r="X593" s="179"/>
      <c r="Y593" s="179"/>
      <c r="Z593" s="179"/>
      <c r="AA593" s="179"/>
      <c r="AB593" s="179"/>
      <c r="AC593" s="179"/>
      <c r="AD593" s="179"/>
      <c r="AE593" s="179"/>
      <c r="AF593" s="179"/>
      <c r="AG593" s="179"/>
      <c r="AH593" s="179"/>
      <c r="AI593" s="179"/>
      <c r="AJ593" s="179"/>
      <c r="AK593" s="179"/>
      <c r="AL593" s="179"/>
      <c r="AM593" s="179"/>
      <c r="AN593" s="179"/>
      <c r="AO593" s="179"/>
    </row>
    <row r="594" spans="3:41" hidden="1" x14ac:dyDescent="0.2">
      <c r="C594" s="179" t="str">
        <f t="shared" ref="C594:D613" si="257">C237</f>
        <v>Business</v>
      </c>
      <c r="D594" s="179" t="str">
        <f t="shared" si="257"/>
        <v/>
      </c>
      <c r="E594" s="179"/>
      <c r="F594" s="179">
        <f>F237*'WK3 - Notional GI Yr1 YIELD'!$D55</f>
        <v>0</v>
      </c>
      <c r="G594" s="179">
        <f>G237*'WK3 - Notional GI Yr1 YIELD'!$D55</f>
        <v>0</v>
      </c>
      <c r="H594" s="179">
        <f>H237*'WK3 - Notional GI Yr1 YIELD'!$D55</f>
        <v>0</v>
      </c>
      <c r="I594" s="179">
        <f>I237*'WK3 - Notional GI Yr1 YIELD'!$D55</f>
        <v>0</v>
      </c>
      <c r="J594" s="179">
        <f>J237*'WK3 - Notional GI Yr1 YIELD'!$D55</f>
        <v>0</v>
      </c>
      <c r="K594" s="179">
        <f>K237*'WK3 - Notional GI Yr1 YIELD'!$D55</f>
        <v>0</v>
      </c>
      <c r="L594" s="179">
        <f>L237*'WK3 - Notional GI Yr1 YIELD'!$D55</f>
        <v>0</v>
      </c>
      <c r="M594" s="179"/>
      <c r="N594" s="179"/>
      <c r="O594" s="179"/>
      <c r="P594" s="179"/>
      <c r="Q594" s="179"/>
      <c r="R594" s="179"/>
      <c r="S594" s="179"/>
      <c r="T594" s="179"/>
      <c r="U594" s="179"/>
      <c r="V594" s="179"/>
      <c r="W594" s="179"/>
      <c r="X594" s="179"/>
      <c r="Y594" s="179"/>
      <c r="Z594" s="179"/>
      <c r="AA594" s="179"/>
      <c r="AB594" s="179"/>
      <c r="AC594" s="179"/>
      <c r="AD594" s="179"/>
      <c r="AE594" s="179"/>
      <c r="AF594" s="179"/>
      <c r="AG594" s="179"/>
      <c r="AH594" s="179"/>
      <c r="AI594" s="179"/>
      <c r="AJ594" s="179"/>
      <c r="AK594" s="179"/>
      <c r="AL594" s="179"/>
      <c r="AM594" s="179"/>
      <c r="AN594" s="179"/>
      <c r="AO594" s="179"/>
    </row>
    <row r="595" spans="3:41" hidden="1" x14ac:dyDescent="0.2">
      <c r="C595" s="179" t="str">
        <f t="shared" si="257"/>
        <v>Business</v>
      </c>
      <c r="D595" s="179" t="str">
        <f t="shared" si="257"/>
        <v/>
      </c>
      <c r="E595" s="179"/>
      <c r="F595" s="179">
        <f>F238*'WK3 - Notional GI Yr1 YIELD'!$D56</f>
        <v>0</v>
      </c>
      <c r="G595" s="179">
        <f>G238*'WK3 - Notional GI Yr1 YIELD'!$D56</f>
        <v>0</v>
      </c>
      <c r="H595" s="179">
        <f>H238*'WK3 - Notional GI Yr1 YIELD'!$D56</f>
        <v>0</v>
      </c>
      <c r="I595" s="179">
        <f>I238*'WK3 - Notional GI Yr1 YIELD'!$D56</f>
        <v>0</v>
      </c>
      <c r="J595" s="179">
        <f>J238*'WK3 - Notional GI Yr1 YIELD'!$D56</f>
        <v>0</v>
      </c>
      <c r="K595" s="179">
        <f>K238*'WK3 - Notional GI Yr1 YIELD'!$D56</f>
        <v>0</v>
      </c>
      <c r="L595" s="179">
        <f>L238*'WK3 - Notional GI Yr1 YIELD'!$D56</f>
        <v>0</v>
      </c>
      <c r="M595" s="179"/>
      <c r="N595" s="179"/>
      <c r="O595" s="179"/>
      <c r="P595" s="179"/>
      <c r="Q595" s="179"/>
      <c r="R595" s="179"/>
      <c r="S595" s="179"/>
      <c r="T595" s="179"/>
      <c r="U595" s="179"/>
      <c r="V595" s="179"/>
      <c r="W595" s="179"/>
      <c r="X595" s="179"/>
      <c r="Y595" s="179"/>
      <c r="Z595" s="179"/>
      <c r="AA595" s="179"/>
      <c r="AB595" s="179"/>
      <c r="AC595" s="179"/>
      <c r="AD595" s="179"/>
      <c r="AE595" s="179"/>
      <c r="AF595" s="179"/>
      <c r="AG595" s="179"/>
      <c r="AH595" s="179"/>
      <c r="AI595" s="179"/>
      <c r="AJ595" s="179"/>
      <c r="AK595" s="179"/>
      <c r="AL595" s="179"/>
      <c r="AM595" s="179"/>
      <c r="AN595" s="179"/>
      <c r="AO595" s="179"/>
    </row>
    <row r="596" spans="3:41" hidden="1" x14ac:dyDescent="0.2">
      <c r="C596" s="179" t="str">
        <f t="shared" si="257"/>
        <v>Business</v>
      </c>
      <c r="D596" s="179" t="str">
        <f t="shared" si="257"/>
        <v/>
      </c>
      <c r="E596" s="179"/>
      <c r="F596" s="179">
        <f>F239*'WK3 - Notional GI Yr1 YIELD'!$D57</f>
        <v>0</v>
      </c>
      <c r="G596" s="179">
        <f>G239*'WK3 - Notional GI Yr1 YIELD'!$D57</f>
        <v>0</v>
      </c>
      <c r="H596" s="179">
        <f>H239*'WK3 - Notional GI Yr1 YIELD'!$D57</f>
        <v>0</v>
      </c>
      <c r="I596" s="179">
        <f>I239*'WK3 - Notional GI Yr1 YIELD'!$D57</f>
        <v>0</v>
      </c>
      <c r="J596" s="179">
        <f>J239*'WK3 - Notional GI Yr1 YIELD'!$D57</f>
        <v>0</v>
      </c>
      <c r="K596" s="179">
        <f>K239*'WK3 - Notional GI Yr1 YIELD'!$D57</f>
        <v>0</v>
      </c>
      <c r="L596" s="179">
        <f>L239*'WK3 - Notional GI Yr1 YIELD'!$D57</f>
        <v>0</v>
      </c>
      <c r="M596" s="179"/>
      <c r="N596" s="179"/>
      <c r="O596" s="179"/>
      <c r="P596" s="179"/>
      <c r="Q596" s="179"/>
      <c r="R596" s="179"/>
      <c r="S596" s="179"/>
      <c r="T596" s="179"/>
      <c r="U596" s="179"/>
      <c r="V596" s="179"/>
      <c r="W596" s="179"/>
      <c r="X596" s="179"/>
      <c r="Y596" s="179"/>
      <c r="Z596" s="179"/>
      <c r="AA596" s="179"/>
      <c r="AB596" s="179"/>
      <c r="AC596" s="179"/>
      <c r="AD596" s="179"/>
      <c r="AE596" s="179"/>
      <c r="AF596" s="179"/>
      <c r="AG596" s="179"/>
      <c r="AH596" s="179"/>
      <c r="AI596" s="179"/>
      <c r="AJ596" s="179"/>
      <c r="AK596" s="179"/>
      <c r="AL596" s="179"/>
      <c r="AM596" s="179"/>
      <c r="AN596" s="179"/>
      <c r="AO596" s="179"/>
    </row>
    <row r="597" spans="3:41" hidden="1" x14ac:dyDescent="0.2">
      <c r="C597" s="179" t="str">
        <f t="shared" si="257"/>
        <v>Business</v>
      </c>
      <c r="D597" s="179" t="str">
        <f t="shared" si="257"/>
        <v/>
      </c>
      <c r="E597" s="179"/>
      <c r="F597" s="179">
        <f>F240*'WK3 - Notional GI Yr1 YIELD'!$D58</f>
        <v>0</v>
      </c>
      <c r="G597" s="179">
        <f>G240*'WK3 - Notional GI Yr1 YIELD'!$D58</f>
        <v>0</v>
      </c>
      <c r="H597" s="179">
        <f>H240*'WK3 - Notional GI Yr1 YIELD'!$D58</f>
        <v>0</v>
      </c>
      <c r="I597" s="179">
        <f>I240*'WK3 - Notional GI Yr1 YIELD'!$D58</f>
        <v>0</v>
      </c>
      <c r="J597" s="179">
        <f>J240*'WK3 - Notional GI Yr1 YIELD'!$D58</f>
        <v>0</v>
      </c>
      <c r="K597" s="179">
        <f>K240*'WK3 - Notional GI Yr1 YIELD'!$D58</f>
        <v>0</v>
      </c>
      <c r="L597" s="179">
        <f>L240*'WK3 - Notional GI Yr1 YIELD'!$D58</f>
        <v>0</v>
      </c>
      <c r="M597" s="179"/>
      <c r="N597" s="179"/>
      <c r="O597" s="179"/>
      <c r="P597" s="179"/>
      <c r="Q597" s="179"/>
      <c r="R597" s="179"/>
      <c r="S597" s="179"/>
      <c r="T597" s="179"/>
      <c r="U597" s="179"/>
      <c r="V597" s="179"/>
      <c r="W597" s="179"/>
      <c r="X597" s="179"/>
      <c r="Y597" s="179"/>
      <c r="Z597" s="179"/>
      <c r="AA597" s="179"/>
      <c r="AB597" s="179"/>
      <c r="AC597" s="179"/>
      <c r="AD597" s="179"/>
      <c r="AE597" s="179"/>
      <c r="AF597" s="179"/>
      <c r="AG597" s="179"/>
      <c r="AH597" s="179"/>
      <c r="AI597" s="179"/>
      <c r="AJ597" s="179"/>
      <c r="AK597" s="179"/>
      <c r="AL597" s="179"/>
      <c r="AM597" s="179"/>
      <c r="AN597" s="179"/>
      <c r="AO597" s="179"/>
    </row>
    <row r="598" spans="3:41" hidden="1" x14ac:dyDescent="0.2">
      <c r="C598" s="179" t="str">
        <f t="shared" si="257"/>
        <v>Business</v>
      </c>
      <c r="D598" s="179" t="str">
        <f t="shared" si="257"/>
        <v/>
      </c>
      <c r="E598" s="179"/>
      <c r="F598" s="179">
        <f>F241*'WK3 - Notional GI Yr1 YIELD'!$D59</f>
        <v>0</v>
      </c>
      <c r="G598" s="179">
        <f>G241*'WK3 - Notional GI Yr1 YIELD'!$D59</f>
        <v>0</v>
      </c>
      <c r="H598" s="179">
        <f>H241*'WK3 - Notional GI Yr1 YIELD'!$D59</f>
        <v>0</v>
      </c>
      <c r="I598" s="179">
        <f>I241*'WK3 - Notional GI Yr1 YIELD'!$D59</f>
        <v>0</v>
      </c>
      <c r="J598" s="179">
        <f>J241*'WK3 - Notional GI Yr1 YIELD'!$D59</f>
        <v>0</v>
      </c>
      <c r="K598" s="179">
        <f>K241*'WK3 - Notional GI Yr1 YIELD'!$D59</f>
        <v>0</v>
      </c>
      <c r="L598" s="179">
        <f>L241*'WK3 - Notional GI Yr1 YIELD'!$D59</f>
        <v>0</v>
      </c>
      <c r="M598" s="179"/>
      <c r="N598" s="179"/>
      <c r="O598" s="179"/>
      <c r="P598" s="179"/>
      <c r="Q598" s="179"/>
      <c r="R598" s="179"/>
      <c r="S598" s="179"/>
      <c r="T598" s="179"/>
      <c r="U598" s="179"/>
      <c r="V598" s="179"/>
      <c r="W598" s="179"/>
      <c r="X598" s="179"/>
      <c r="Y598" s="179"/>
      <c r="Z598" s="179"/>
      <c r="AA598" s="179"/>
      <c r="AB598" s="179"/>
      <c r="AC598" s="179"/>
      <c r="AD598" s="179"/>
      <c r="AE598" s="179"/>
      <c r="AF598" s="179"/>
      <c r="AG598" s="179"/>
      <c r="AH598" s="179"/>
      <c r="AI598" s="179"/>
      <c r="AJ598" s="179"/>
      <c r="AK598" s="179"/>
      <c r="AL598" s="179"/>
      <c r="AM598" s="179"/>
      <c r="AN598" s="179"/>
      <c r="AO598" s="179"/>
    </row>
    <row r="599" spans="3:41" hidden="1" x14ac:dyDescent="0.2">
      <c r="C599" s="179" t="str">
        <f t="shared" si="257"/>
        <v>Special rate</v>
      </c>
      <c r="D599" s="179" t="str">
        <f t="shared" si="257"/>
        <v/>
      </c>
      <c r="E599" s="179"/>
      <c r="F599" s="179">
        <f>F242*'WK3 - Notional GI Yr1 YIELD'!$D102</f>
        <v>0</v>
      </c>
      <c r="G599" s="179">
        <f>G242*'WK3 - Notional GI Yr1 YIELD'!$D102</f>
        <v>0</v>
      </c>
      <c r="H599" s="179">
        <f>H242*'WK3 - Notional GI Yr1 YIELD'!$D102</f>
        <v>0</v>
      </c>
      <c r="I599" s="179">
        <f>I242*'WK3 - Notional GI Yr1 YIELD'!$D102</f>
        <v>0</v>
      </c>
      <c r="J599" s="179">
        <f>J242*'WK3 - Notional GI Yr1 YIELD'!$D102</f>
        <v>0</v>
      </c>
      <c r="K599" s="179">
        <f>K242*'WK3 - Notional GI Yr1 YIELD'!$D102</f>
        <v>0</v>
      </c>
      <c r="L599" s="179">
        <f>L242*'WK3 - Notional GI Yr1 YIELD'!$D102</f>
        <v>0</v>
      </c>
      <c r="M599" s="179"/>
      <c r="N599" s="179"/>
      <c r="O599" s="179"/>
      <c r="P599" s="179"/>
      <c r="Q599" s="179"/>
      <c r="R599" s="179"/>
      <c r="S599" s="179"/>
      <c r="T599" s="179"/>
      <c r="U599" s="179"/>
      <c r="V599" s="179"/>
      <c r="W599" s="179"/>
      <c r="X599" s="179"/>
      <c r="Y599" s="179"/>
      <c r="Z599" s="179"/>
      <c r="AA599" s="179"/>
      <c r="AB599" s="179"/>
      <c r="AC599" s="179"/>
      <c r="AD599" s="179"/>
      <c r="AE599" s="179"/>
      <c r="AF599" s="179"/>
      <c r="AG599" s="179"/>
      <c r="AH599" s="179"/>
      <c r="AI599" s="179"/>
      <c r="AJ599" s="179"/>
      <c r="AK599" s="179"/>
      <c r="AL599" s="179"/>
      <c r="AM599" s="179"/>
      <c r="AN599" s="179"/>
      <c r="AO599" s="179"/>
    </row>
    <row r="600" spans="3:41" hidden="1" x14ac:dyDescent="0.2">
      <c r="C600" s="179" t="str">
        <f t="shared" si="257"/>
        <v>Special rate</v>
      </c>
      <c r="D600" s="179" t="str">
        <f t="shared" ref="D600:D613" si="258">D243</f>
        <v/>
      </c>
      <c r="E600" s="179"/>
      <c r="F600" s="179">
        <f>F243*'WK3 - Notional GI Yr1 YIELD'!$D103</f>
        <v>0</v>
      </c>
      <c r="G600" s="179">
        <f>G243*'WK3 - Notional GI Yr1 YIELD'!$D103</f>
        <v>0</v>
      </c>
      <c r="H600" s="179">
        <f>H243*'WK3 - Notional GI Yr1 YIELD'!$D103</f>
        <v>0</v>
      </c>
      <c r="I600" s="179">
        <f>I243*'WK3 - Notional GI Yr1 YIELD'!$D103</f>
        <v>0</v>
      </c>
      <c r="J600" s="179">
        <f>J243*'WK3 - Notional GI Yr1 YIELD'!$D103</f>
        <v>0</v>
      </c>
      <c r="K600" s="179">
        <f>K243*'WK3 - Notional GI Yr1 YIELD'!$D103</f>
        <v>0</v>
      </c>
      <c r="L600" s="179">
        <f>L243*'WK3 - Notional GI Yr1 YIELD'!$D103</f>
        <v>0</v>
      </c>
      <c r="M600" s="179"/>
      <c r="N600" s="179"/>
      <c r="O600" s="179"/>
      <c r="P600" s="179"/>
      <c r="Q600" s="179"/>
      <c r="R600" s="179"/>
      <c r="S600" s="179"/>
      <c r="T600" s="179"/>
      <c r="U600" s="179"/>
      <c r="V600" s="179"/>
      <c r="W600" s="179"/>
      <c r="X600" s="179"/>
      <c r="Y600" s="179"/>
      <c r="Z600" s="179"/>
      <c r="AA600" s="179"/>
      <c r="AB600" s="179"/>
      <c r="AC600" s="179"/>
      <c r="AD600" s="179"/>
      <c r="AE600" s="179"/>
      <c r="AF600" s="179"/>
      <c r="AG600" s="179"/>
      <c r="AH600" s="179"/>
      <c r="AI600" s="179"/>
      <c r="AJ600" s="179"/>
      <c r="AK600" s="179"/>
      <c r="AL600" s="179"/>
      <c r="AM600" s="179"/>
      <c r="AN600" s="179"/>
      <c r="AO600" s="179"/>
    </row>
    <row r="601" spans="3:41" hidden="1" x14ac:dyDescent="0.2">
      <c r="C601" s="179" t="str">
        <f t="shared" si="257"/>
        <v>Special rate</v>
      </c>
      <c r="D601" s="179" t="str">
        <f t="shared" si="258"/>
        <v/>
      </c>
      <c r="E601" s="179"/>
      <c r="F601" s="179">
        <f>F244*'WK3 - Notional GI Yr1 YIELD'!$D104</f>
        <v>0</v>
      </c>
      <c r="G601" s="179">
        <f>G244*'WK3 - Notional GI Yr1 YIELD'!$D104</f>
        <v>0</v>
      </c>
      <c r="H601" s="179">
        <f>H244*'WK3 - Notional GI Yr1 YIELD'!$D104</f>
        <v>0</v>
      </c>
      <c r="I601" s="179">
        <f>I244*'WK3 - Notional GI Yr1 YIELD'!$D104</f>
        <v>0</v>
      </c>
      <c r="J601" s="179">
        <f>J244*'WK3 - Notional GI Yr1 YIELD'!$D104</f>
        <v>0</v>
      </c>
      <c r="K601" s="179">
        <f>K244*'WK3 - Notional GI Yr1 YIELD'!$D104</f>
        <v>0</v>
      </c>
      <c r="L601" s="179">
        <f>L244*'WK3 - Notional GI Yr1 YIELD'!$D104</f>
        <v>0</v>
      </c>
      <c r="M601" s="179"/>
      <c r="N601" s="179"/>
      <c r="O601" s="179"/>
      <c r="P601" s="179"/>
      <c r="Q601" s="179"/>
      <c r="R601" s="179"/>
      <c r="S601" s="179"/>
      <c r="T601" s="179"/>
      <c r="U601" s="179"/>
      <c r="V601" s="179"/>
      <c r="W601" s="179"/>
      <c r="X601" s="179"/>
      <c r="Y601" s="179"/>
      <c r="Z601" s="179"/>
      <c r="AA601" s="179"/>
      <c r="AB601" s="179"/>
      <c r="AC601" s="179"/>
      <c r="AD601" s="179"/>
      <c r="AE601" s="179"/>
      <c r="AF601" s="179"/>
      <c r="AG601" s="179"/>
      <c r="AH601" s="179"/>
      <c r="AI601" s="179"/>
      <c r="AJ601" s="179"/>
      <c r="AK601" s="179"/>
      <c r="AL601" s="179"/>
      <c r="AM601" s="179"/>
      <c r="AN601" s="179"/>
      <c r="AO601" s="179"/>
    </row>
    <row r="602" spans="3:41" hidden="1" x14ac:dyDescent="0.2">
      <c r="C602" s="179" t="str">
        <f t="shared" si="257"/>
        <v>Special rate</v>
      </c>
      <c r="D602" s="179" t="str">
        <f t="shared" si="258"/>
        <v/>
      </c>
      <c r="E602" s="179"/>
      <c r="F602" s="179">
        <f>F245*'WK3 - Notional GI Yr1 YIELD'!$D105</f>
        <v>0</v>
      </c>
      <c r="G602" s="179">
        <f>G245*'WK3 - Notional GI Yr1 YIELD'!$D105</f>
        <v>0</v>
      </c>
      <c r="H602" s="179">
        <f>H245*'WK3 - Notional GI Yr1 YIELD'!$D105</f>
        <v>0</v>
      </c>
      <c r="I602" s="179">
        <f>I245*'WK3 - Notional GI Yr1 YIELD'!$D105</f>
        <v>0</v>
      </c>
      <c r="J602" s="179">
        <f>J245*'WK3 - Notional GI Yr1 YIELD'!$D105</f>
        <v>0</v>
      </c>
      <c r="K602" s="179">
        <f>K245*'WK3 - Notional GI Yr1 YIELD'!$D105</f>
        <v>0</v>
      </c>
      <c r="L602" s="179">
        <f>L245*'WK3 - Notional GI Yr1 YIELD'!$D105</f>
        <v>0</v>
      </c>
      <c r="M602" s="179"/>
      <c r="N602" s="179"/>
      <c r="O602" s="179"/>
      <c r="P602" s="179"/>
      <c r="Q602" s="179"/>
      <c r="R602" s="179"/>
      <c r="S602" s="179"/>
      <c r="T602" s="179"/>
      <c r="U602" s="179"/>
      <c r="V602" s="179"/>
      <c r="W602" s="179"/>
      <c r="X602" s="179"/>
      <c r="Y602" s="179"/>
      <c r="Z602" s="179"/>
      <c r="AA602" s="179"/>
      <c r="AB602" s="179"/>
      <c r="AC602" s="179"/>
      <c r="AD602" s="179"/>
      <c r="AE602" s="179"/>
      <c r="AF602" s="179"/>
      <c r="AG602" s="179"/>
      <c r="AH602" s="179"/>
      <c r="AI602" s="179"/>
      <c r="AJ602" s="179"/>
      <c r="AK602" s="179"/>
      <c r="AL602" s="179"/>
      <c r="AM602" s="179"/>
      <c r="AN602" s="179"/>
      <c r="AO602" s="179"/>
    </row>
    <row r="603" spans="3:41" hidden="1" x14ac:dyDescent="0.2">
      <c r="C603" s="179" t="str">
        <f t="shared" si="257"/>
        <v>Special rate</v>
      </c>
      <c r="D603" s="179" t="str">
        <f t="shared" si="258"/>
        <v/>
      </c>
      <c r="E603" s="179"/>
      <c r="F603" s="179">
        <f>F246*'WK3 - Notional GI Yr1 YIELD'!$D106</f>
        <v>0</v>
      </c>
      <c r="G603" s="179">
        <f>G246*'WK3 - Notional GI Yr1 YIELD'!$D106</f>
        <v>0</v>
      </c>
      <c r="H603" s="179">
        <f>H246*'WK3 - Notional GI Yr1 YIELD'!$D106</f>
        <v>0</v>
      </c>
      <c r="I603" s="179">
        <f>I246*'WK3 - Notional GI Yr1 YIELD'!$D106</f>
        <v>0</v>
      </c>
      <c r="J603" s="179">
        <f>J246*'WK3 - Notional GI Yr1 YIELD'!$D106</f>
        <v>0</v>
      </c>
      <c r="K603" s="179">
        <f>K246*'WK3 - Notional GI Yr1 YIELD'!$D106</f>
        <v>0</v>
      </c>
      <c r="L603" s="179">
        <f>L246*'WK3 - Notional GI Yr1 YIELD'!$D106</f>
        <v>0</v>
      </c>
      <c r="M603" s="179"/>
      <c r="N603" s="179"/>
      <c r="O603" s="179"/>
      <c r="P603" s="179"/>
      <c r="Q603" s="179"/>
      <c r="R603" s="179"/>
      <c r="S603" s="179"/>
      <c r="T603" s="179"/>
      <c r="U603" s="179"/>
      <c r="V603" s="179"/>
      <c r="W603" s="179"/>
      <c r="X603" s="179"/>
      <c r="Y603" s="179"/>
      <c r="Z603" s="179"/>
      <c r="AA603" s="179"/>
      <c r="AB603" s="179"/>
      <c r="AC603" s="179"/>
      <c r="AD603" s="179"/>
      <c r="AE603" s="179"/>
      <c r="AF603" s="179"/>
      <c r="AG603" s="179"/>
      <c r="AH603" s="179"/>
      <c r="AI603" s="179"/>
      <c r="AJ603" s="179"/>
      <c r="AK603" s="179"/>
      <c r="AL603" s="179"/>
      <c r="AM603" s="179"/>
      <c r="AN603" s="179"/>
      <c r="AO603" s="179"/>
    </row>
    <row r="604" spans="3:41" hidden="1" x14ac:dyDescent="0.2">
      <c r="C604" s="179" t="str">
        <f t="shared" si="257"/>
        <v>Special rate</v>
      </c>
      <c r="D604" s="179" t="str">
        <f t="shared" si="258"/>
        <v/>
      </c>
      <c r="E604" s="179"/>
      <c r="F604" s="179">
        <f>F247*'WK3 - Notional GI Yr1 YIELD'!$D107</f>
        <v>0</v>
      </c>
      <c r="G604" s="179">
        <f>G247*'WK3 - Notional GI Yr1 YIELD'!$D107</f>
        <v>0</v>
      </c>
      <c r="H604" s="179">
        <f>H247*'WK3 - Notional GI Yr1 YIELD'!$D107</f>
        <v>0</v>
      </c>
      <c r="I604" s="179">
        <f>I247*'WK3 - Notional GI Yr1 YIELD'!$D107</f>
        <v>0</v>
      </c>
      <c r="J604" s="179">
        <f>J247*'WK3 - Notional GI Yr1 YIELD'!$D107</f>
        <v>0</v>
      </c>
      <c r="K604" s="179">
        <f>K247*'WK3 - Notional GI Yr1 YIELD'!$D107</f>
        <v>0</v>
      </c>
      <c r="L604" s="179">
        <f>L247*'WK3 - Notional GI Yr1 YIELD'!$D107</f>
        <v>0</v>
      </c>
      <c r="M604" s="179"/>
      <c r="N604" s="179"/>
      <c r="O604" s="179"/>
      <c r="P604" s="179"/>
      <c r="Q604" s="179"/>
      <c r="R604" s="179"/>
      <c r="S604" s="179"/>
      <c r="T604" s="179"/>
      <c r="U604" s="179"/>
      <c r="V604" s="179"/>
      <c r="W604" s="179"/>
      <c r="X604" s="179"/>
      <c r="Y604" s="179"/>
      <c r="Z604" s="179"/>
      <c r="AA604" s="179"/>
      <c r="AB604" s="179"/>
      <c r="AC604" s="179"/>
      <c r="AD604" s="179"/>
      <c r="AE604" s="179"/>
      <c r="AF604" s="179"/>
      <c r="AG604" s="179"/>
      <c r="AH604" s="179"/>
      <c r="AI604" s="179"/>
      <c r="AJ604" s="179"/>
      <c r="AK604" s="179"/>
      <c r="AL604" s="179"/>
      <c r="AM604" s="179"/>
      <c r="AN604" s="179"/>
      <c r="AO604" s="179"/>
    </row>
    <row r="605" spans="3:41" hidden="1" x14ac:dyDescent="0.2">
      <c r="C605" s="179" t="str">
        <f t="shared" si="257"/>
        <v>Special rate</v>
      </c>
      <c r="D605" s="179" t="str">
        <f t="shared" si="258"/>
        <v/>
      </c>
      <c r="E605" s="179"/>
      <c r="F605" s="179">
        <f>F248*'WK3 - Notional GI Yr1 YIELD'!$D108</f>
        <v>0</v>
      </c>
      <c r="G605" s="179">
        <f>G248*'WK3 - Notional GI Yr1 YIELD'!$D108</f>
        <v>0</v>
      </c>
      <c r="H605" s="179">
        <f>H248*'WK3 - Notional GI Yr1 YIELD'!$D108</f>
        <v>0</v>
      </c>
      <c r="I605" s="179">
        <f>I248*'WK3 - Notional GI Yr1 YIELD'!$D108</f>
        <v>0</v>
      </c>
      <c r="J605" s="179">
        <f>J248*'WK3 - Notional GI Yr1 YIELD'!$D108</f>
        <v>0</v>
      </c>
      <c r="K605" s="179">
        <f>K248*'WK3 - Notional GI Yr1 YIELD'!$D108</f>
        <v>0</v>
      </c>
      <c r="L605" s="179">
        <f>L248*'WK3 - Notional GI Yr1 YIELD'!$D108</f>
        <v>0</v>
      </c>
      <c r="M605" s="179"/>
      <c r="N605" s="179"/>
      <c r="O605" s="179"/>
      <c r="P605" s="179"/>
      <c r="Q605" s="179"/>
      <c r="R605" s="179"/>
      <c r="S605" s="179"/>
      <c r="T605" s="179"/>
      <c r="U605" s="179"/>
      <c r="V605" s="179"/>
      <c r="W605" s="179"/>
      <c r="X605" s="179"/>
      <c r="Y605" s="179"/>
      <c r="Z605" s="179"/>
      <c r="AA605" s="179"/>
      <c r="AB605" s="179"/>
      <c r="AC605" s="179"/>
      <c r="AD605" s="179"/>
      <c r="AE605" s="179"/>
      <c r="AF605" s="179"/>
      <c r="AG605" s="179"/>
      <c r="AH605" s="179"/>
      <c r="AI605" s="179"/>
      <c r="AJ605" s="179"/>
      <c r="AK605" s="179"/>
      <c r="AL605" s="179"/>
      <c r="AM605" s="179"/>
      <c r="AN605" s="179"/>
      <c r="AO605" s="179"/>
    </row>
    <row r="606" spans="3:41" hidden="1" x14ac:dyDescent="0.2">
      <c r="C606" s="179" t="str">
        <f t="shared" si="257"/>
        <v>Special rate</v>
      </c>
      <c r="D606" s="179" t="str">
        <f t="shared" si="258"/>
        <v/>
      </c>
      <c r="E606" s="179"/>
      <c r="F606" s="179">
        <f>F249*'WK3 - Notional GI Yr1 YIELD'!$D109</f>
        <v>0</v>
      </c>
      <c r="G606" s="179">
        <f>G249*'WK3 - Notional GI Yr1 YIELD'!$D109</f>
        <v>0</v>
      </c>
      <c r="H606" s="179">
        <f>H249*'WK3 - Notional GI Yr1 YIELD'!$D109</f>
        <v>0</v>
      </c>
      <c r="I606" s="179">
        <f>I249*'WK3 - Notional GI Yr1 YIELD'!$D109</f>
        <v>0</v>
      </c>
      <c r="J606" s="179">
        <f>J249*'WK3 - Notional GI Yr1 YIELD'!$D109</f>
        <v>0</v>
      </c>
      <c r="K606" s="179">
        <f>K249*'WK3 - Notional GI Yr1 YIELD'!$D109</f>
        <v>0</v>
      </c>
      <c r="L606" s="179">
        <f>L249*'WK3 - Notional GI Yr1 YIELD'!$D109</f>
        <v>0</v>
      </c>
      <c r="M606" s="179"/>
      <c r="N606" s="179"/>
      <c r="O606" s="179"/>
      <c r="P606" s="179"/>
      <c r="Q606" s="179"/>
      <c r="R606" s="179"/>
      <c r="S606" s="179"/>
      <c r="T606" s="179"/>
      <c r="U606" s="179"/>
      <c r="V606" s="179"/>
      <c r="W606" s="179"/>
      <c r="X606" s="179"/>
      <c r="Y606" s="179"/>
      <c r="Z606" s="179"/>
      <c r="AA606" s="179"/>
      <c r="AB606" s="179"/>
      <c r="AC606" s="179"/>
      <c r="AD606" s="179"/>
      <c r="AE606" s="179"/>
      <c r="AF606" s="179"/>
      <c r="AG606" s="179"/>
      <c r="AH606" s="179"/>
      <c r="AI606" s="179"/>
      <c r="AJ606" s="179"/>
      <c r="AK606" s="179"/>
      <c r="AL606" s="179"/>
      <c r="AM606" s="179"/>
      <c r="AN606" s="179"/>
      <c r="AO606" s="179"/>
    </row>
    <row r="607" spans="3:41" hidden="1" x14ac:dyDescent="0.2">
      <c r="C607" s="179" t="str">
        <f t="shared" si="257"/>
        <v>Special rate</v>
      </c>
      <c r="D607" s="179" t="str">
        <f t="shared" si="258"/>
        <v/>
      </c>
      <c r="E607" s="179"/>
      <c r="F607" s="179">
        <f>F250*'WK3 - Notional GI Yr1 YIELD'!$D110</f>
        <v>0</v>
      </c>
      <c r="G607" s="179">
        <f>G250*'WK3 - Notional GI Yr1 YIELD'!$D110</f>
        <v>0</v>
      </c>
      <c r="H607" s="179">
        <f>H250*'WK3 - Notional GI Yr1 YIELD'!$D110</f>
        <v>0</v>
      </c>
      <c r="I607" s="179">
        <f>I250*'WK3 - Notional GI Yr1 YIELD'!$D110</f>
        <v>0</v>
      </c>
      <c r="J607" s="179">
        <f>J250*'WK3 - Notional GI Yr1 YIELD'!$D110</f>
        <v>0</v>
      </c>
      <c r="K607" s="179">
        <f>K250*'WK3 - Notional GI Yr1 YIELD'!$D110</f>
        <v>0</v>
      </c>
      <c r="L607" s="179">
        <f>L250*'WK3 - Notional GI Yr1 YIELD'!$D110</f>
        <v>0</v>
      </c>
      <c r="M607" s="179"/>
      <c r="N607" s="179"/>
      <c r="O607" s="179"/>
      <c r="P607" s="179"/>
      <c r="Q607" s="179"/>
      <c r="R607" s="179"/>
      <c r="S607" s="179"/>
      <c r="T607" s="179"/>
      <c r="U607" s="179"/>
      <c r="V607" s="179"/>
      <c r="W607" s="179"/>
      <c r="X607" s="179"/>
      <c r="Y607" s="179"/>
      <c r="Z607" s="179"/>
      <c r="AA607" s="179"/>
      <c r="AB607" s="179"/>
      <c r="AC607" s="179"/>
      <c r="AD607" s="179"/>
      <c r="AE607" s="179"/>
      <c r="AF607" s="179"/>
      <c r="AG607" s="179"/>
      <c r="AH607" s="179"/>
      <c r="AI607" s="179"/>
      <c r="AJ607" s="179"/>
      <c r="AK607" s="179"/>
      <c r="AL607" s="179"/>
      <c r="AM607" s="179"/>
      <c r="AN607" s="179"/>
      <c r="AO607" s="179"/>
    </row>
    <row r="608" spans="3:41" hidden="1" x14ac:dyDescent="0.2">
      <c r="C608" s="179" t="str">
        <f t="shared" si="257"/>
        <v>Special rate</v>
      </c>
      <c r="D608" s="179" t="str">
        <f t="shared" si="258"/>
        <v/>
      </c>
      <c r="E608" s="179"/>
      <c r="F608" s="179">
        <f>F251*'WK3 - Notional GI Yr1 YIELD'!$D111</f>
        <v>0</v>
      </c>
      <c r="G608" s="179">
        <f>G251*'WK3 - Notional GI Yr1 YIELD'!$D111</f>
        <v>0</v>
      </c>
      <c r="H608" s="179">
        <f>H251*'WK3 - Notional GI Yr1 YIELD'!$D111</f>
        <v>0</v>
      </c>
      <c r="I608" s="179">
        <f>I251*'WK3 - Notional GI Yr1 YIELD'!$D111</f>
        <v>0</v>
      </c>
      <c r="J608" s="179">
        <f>J251*'WK3 - Notional GI Yr1 YIELD'!$D111</f>
        <v>0</v>
      </c>
      <c r="K608" s="179">
        <f>K251*'WK3 - Notional GI Yr1 YIELD'!$D111</f>
        <v>0</v>
      </c>
      <c r="L608" s="179">
        <f>L251*'WK3 - Notional GI Yr1 YIELD'!$D111</f>
        <v>0</v>
      </c>
      <c r="M608" s="179"/>
      <c r="N608" s="179"/>
      <c r="O608" s="179"/>
      <c r="P608" s="179"/>
      <c r="Q608" s="179"/>
      <c r="R608" s="179"/>
      <c r="S608" s="179"/>
      <c r="T608" s="179"/>
      <c r="U608" s="179"/>
      <c r="V608" s="179"/>
      <c r="W608" s="179"/>
      <c r="X608" s="179"/>
      <c r="Y608" s="179"/>
      <c r="Z608" s="179"/>
      <c r="AA608" s="179"/>
      <c r="AB608" s="179"/>
      <c r="AC608" s="179"/>
      <c r="AD608" s="179"/>
      <c r="AE608" s="179"/>
      <c r="AF608" s="179"/>
      <c r="AG608" s="179"/>
      <c r="AH608" s="179"/>
      <c r="AI608" s="179"/>
      <c r="AJ608" s="179"/>
      <c r="AK608" s="179"/>
      <c r="AL608" s="179"/>
      <c r="AM608" s="179"/>
      <c r="AN608" s="179"/>
      <c r="AO608" s="179"/>
    </row>
    <row r="609" spans="3:41" hidden="1" x14ac:dyDescent="0.2">
      <c r="C609" s="179" t="str">
        <f t="shared" si="257"/>
        <v>Special rate</v>
      </c>
      <c r="D609" s="179" t="str">
        <f t="shared" si="258"/>
        <v/>
      </c>
      <c r="E609" s="179"/>
      <c r="F609" s="179">
        <f>F252*'WK3 - Notional GI Yr1 YIELD'!$D112</f>
        <v>0</v>
      </c>
      <c r="G609" s="179">
        <f>G252*'WK3 - Notional GI Yr1 YIELD'!$D112</f>
        <v>0</v>
      </c>
      <c r="H609" s="179">
        <f>H252*'WK3 - Notional GI Yr1 YIELD'!$D112</f>
        <v>0</v>
      </c>
      <c r="I609" s="179">
        <f>I252*'WK3 - Notional GI Yr1 YIELD'!$D112</f>
        <v>0</v>
      </c>
      <c r="J609" s="179">
        <f>J252*'WK3 - Notional GI Yr1 YIELD'!$D112</f>
        <v>0</v>
      </c>
      <c r="K609" s="179">
        <f>K252*'WK3 - Notional GI Yr1 YIELD'!$D112</f>
        <v>0</v>
      </c>
      <c r="L609" s="179">
        <f>L252*'WK3 - Notional GI Yr1 YIELD'!$D112</f>
        <v>0</v>
      </c>
      <c r="M609" s="179"/>
      <c r="N609" s="179"/>
      <c r="O609" s="179"/>
      <c r="P609" s="179"/>
      <c r="Q609" s="179"/>
      <c r="R609" s="179"/>
      <c r="S609" s="179"/>
      <c r="T609" s="179"/>
      <c r="U609" s="179"/>
      <c r="V609" s="179"/>
      <c r="W609" s="179"/>
      <c r="X609" s="179"/>
      <c r="Y609" s="179"/>
      <c r="Z609" s="179"/>
      <c r="AA609" s="179"/>
      <c r="AB609" s="179"/>
      <c r="AC609" s="179"/>
      <c r="AD609" s="179"/>
      <c r="AE609" s="179"/>
      <c r="AF609" s="179"/>
      <c r="AG609" s="179"/>
      <c r="AH609" s="179"/>
      <c r="AI609" s="179"/>
      <c r="AJ609" s="179"/>
      <c r="AK609" s="179"/>
      <c r="AL609" s="179"/>
      <c r="AM609" s="179"/>
      <c r="AN609" s="179"/>
      <c r="AO609" s="179"/>
    </row>
    <row r="610" spans="3:41" hidden="1" x14ac:dyDescent="0.2">
      <c r="C610" s="179" t="str">
        <f t="shared" si="257"/>
        <v>Special rate</v>
      </c>
      <c r="D610" s="179" t="str">
        <f t="shared" si="258"/>
        <v/>
      </c>
      <c r="E610" s="179"/>
      <c r="F610" s="179">
        <f>F253*'WK3 - Notional GI Yr1 YIELD'!$D113</f>
        <v>0</v>
      </c>
      <c r="G610" s="179">
        <f>G253*'WK3 - Notional GI Yr1 YIELD'!$D113</f>
        <v>0</v>
      </c>
      <c r="H610" s="179">
        <f>H253*'WK3 - Notional GI Yr1 YIELD'!$D113</f>
        <v>0</v>
      </c>
      <c r="I610" s="179">
        <f>I253*'WK3 - Notional GI Yr1 YIELD'!$D113</f>
        <v>0</v>
      </c>
      <c r="J610" s="179">
        <f>J253*'WK3 - Notional GI Yr1 YIELD'!$D113</f>
        <v>0</v>
      </c>
      <c r="K610" s="179">
        <f>K253*'WK3 - Notional GI Yr1 YIELD'!$D113</f>
        <v>0</v>
      </c>
      <c r="L610" s="179">
        <f>L253*'WK3 - Notional GI Yr1 YIELD'!$D113</f>
        <v>0</v>
      </c>
      <c r="M610" s="179"/>
      <c r="N610" s="179"/>
      <c r="O610" s="179"/>
      <c r="P610" s="179"/>
      <c r="Q610" s="179"/>
      <c r="R610" s="179"/>
      <c r="S610" s="179"/>
      <c r="T610" s="179"/>
      <c r="U610" s="179"/>
      <c r="V610" s="179"/>
      <c r="W610" s="179"/>
      <c r="X610" s="179"/>
      <c r="Y610" s="179"/>
      <c r="Z610" s="179"/>
      <c r="AA610" s="179"/>
      <c r="AB610" s="179"/>
      <c r="AC610" s="179"/>
      <c r="AD610" s="179"/>
      <c r="AE610" s="179"/>
      <c r="AF610" s="179"/>
      <c r="AG610" s="179"/>
      <c r="AH610" s="179"/>
      <c r="AI610" s="179"/>
      <c r="AJ610" s="179"/>
      <c r="AK610" s="179"/>
      <c r="AL610" s="179"/>
      <c r="AM610" s="179"/>
      <c r="AN610" s="179"/>
      <c r="AO610" s="179"/>
    </row>
    <row r="611" spans="3:41" hidden="1" x14ac:dyDescent="0.2">
      <c r="C611" s="179" t="str">
        <f t="shared" si="257"/>
        <v>Special rate</v>
      </c>
      <c r="D611" s="179" t="str">
        <f t="shared" si="258"/>
        <v/>
      </c>
      <c r="E611" s="179"/>
      <c r="F611" s="179">
        <f>F254*'WK3 - Notional GI Yr1 YIELD'!$D114</f>
        <v>0</v>
      </c>
      <c r="G611" s="179">
        <f>G254*'WK3 - Notional GI Yr1 YIELD'!$D114</f>
        <v>0</v>
      </c>
      <c r="H611" s="179">
        <f>H254*'WK3 - Notional GI Yr1 YIELD'!$D114</f>
        <v>0</v>
      </c>
      <c r="I611" s="179">
        <f>I254*'WK3 - Notional GI Yr1 YIELD'!$D114</f>
        <v>0</v>
      </c>
      <c r="J611" s="179">
        <f>J254*'WK3 - Notional GI Yr1 YIELD'!$D114</f>
        <v>0</v>
      </c>
      <c r="K611" s="179">
        <f>K254*'WK3 - Notional GI Yr1 YIELD'!$D114</f>
        <v>0</v>
      </c>
      <c r="L611" s="179">
        <f>L254*'WK3 - Notional GI Yr1 YIELD'!$D114</f>
        <v>0</v>
      </c>
      <c r="M611" s="179"/>
      <c r="N611" s="179"/>
      <c r="O611" s="179"/>
      <c r="P611" s="179"/>
      <c r="Q611" s="179"/>
      <c r="R611" s="179"/>
      <c r="S611" s="179"/>
      <c r="T611" s="179"/>
      <c r="U611" s="179"/>
      <c r="V611" s="179"/>
      <c r="W611" s="179"/>
      <c r="X611" s="179"/>
      <c r="Y611" s="179"/>
      <c r="Z611" s="179"/>
      <c r="AA611" s="179"/>
      <c r="AB611" s="179"/>
      <c r="AC611" s="179"/>
      <c r="AD611" s="179"/>
      <c r="AE611" s="179"/>
      <c r="AF611" s="179"/>
      <c r="AG611" s="179"/>
      <c r="AH611" s="179"/>
      <c r="AI611" s="179"/>
      <c r="AJ611" s="179"/>
      <c r="AK611" s="179"/>
      <c r="AL611" s="179"/>
      <c r="AM611" s="179"/>
      <c r="AN611" s="179"/>
      <c r="AO611" s="179"/>
    </row>
    <row r="612" spans="3:41" hidden="1" x14ac:dyDescent="0.2">
      <c r="C612" s="179" t="str">
        <f t="shared" si="257"/>
        <v>Special rate</v>
      </c>
      <c r="D612" s="179" t="str">
        <f t="shared" si="258"/>
        <v/>
      </c>
      <c r="E612" s="179"/>
      <c r="F612" s="179">
        <f>F255*'WK3 - Notional GI Yr1 YIELD'!$D115</f>
        <v>0</v>
      </c>
      <c r="G612" s="179">
        <f>G255*'WK3 - Notional GI Yr1 YIELD'!$D115</f>
        <v>0</v>
      </c>
      <c r="H612" s="179">
        <f>H255*'WK3 - Notional GI Yr1 YIELD'!$D115</f>
        <v>0</v>
      </c>
      <c r="I612" s="179">
        <f>I255*'WK3 - Notional GI Yr1 YIELD'!$D115</f>
        <v>0</v>
      </c>
      <c r="J612" s="179">
        <f>J255*'WK3 - Notional GI Yr1 YIELD'!$D115</f>
        <v>0</v>
      </c>
      <c r="K612" s="179">
        <f>K255*'WK3 - Notional GI Yr1 YIELD'!$D115</f>
        <v>0</v>
      </c>
      <c r="L612" s="179">
        <f>L255*'WK3 - Notional GI Yr1 YIELD'!$D115</f>
        <v>0</v>
      </c>
      <c r="M612" s="179"/>
      <c r="N612" s="179"/>
      <c r="O612" s="179"/>
      <c r="P612" s="179"/>
      <c r="Q612" s="179"/>
      <c r="R612" s="179"/>
      <c r="S612" s="179"/>
      <c r="T612" s="179"/>
      <c r="U612" s="179"/>
      <c r="V612" s="179"/>
      <c r="W612" s="179"/>
      <c r="X612" s="179"/>
      <c r="Y612" s="179"/>
      <c r="Z612" s="179"/>
      <c r="AA612" s="179"/>
      <c r="AB612" s="179"/>
      <c r="AC612" s="179"/>
      <c r="AD612" s="179"/>
      <c r="AE612" s="179"/>
      <c r="AF612" s="179"/>
      <c r="AG612" s="179"/>
      <c r="AH612" s="179"/>
      <c r="AI612" s="179"/>
      <c r="AJ612" s="179"/>
      <c r="AK612" s="179"/>
      <c r="AL612" s="179"/>
      <c r="AM612" s="179"/>
      <c r="AN612" s="179"/>
      <c r="AO612" s="179"/>
    </row>
    <row r="613" spans="3:41" hidden="1" x14ac:dyDescent="0.2">
      <c r="C613" s="179" t="str">
        <f t="shared" si="257"/>
        <v>Special rate</v>
      </c>
      <c r="D613" s="179" t="str">
        <f t="shared" si="258"/>
        <v/>
      </c>
      <c r="E613" s="179"/>
      <c r="F613" s="179">
        <f>F256*'WK3 - Notional GI Yr1 YIELD'!$D116</f>
        <v>0</v>
      </c>
      <c r="G613" s="179">
        <f>G256*'WK3 - Notional GI Yr1 YIELD'!$D116</f>
        <v>0</v>
      </c>
      <c r="H613" s="179">
        <f>H256*'WK3 - Notional GI Yr1 YIELD'!$D116</f>
        <v>0</v>
      </c>
      <c r="I613" s="179">
        <f>I256*'WK3 - Notional GI Yr1 YIELD'!$D116</f>
        <v>0</v>
      </c>
      <c r="J613" s="179">
        <f>J256*'WK3 - Notional GI Yr1 YIELD'!$D116</f>
        <v>0</v>
      </c>
      <c r="K613" s="179">
        <f>K256*'WK3 - Notional GI Yr1 YIELD'!$D116</f>
        <v>0</v>
      </c>
      <c r="L613" s="179">
        <f>L256*'WK3 - Notional GI Yr1 YIELD'!$D116</f>
        <v>0</v>
      </c>
      <c r="M613" s="179"/>
      <c r="N613" s="179"/>
      <c r="O613" s="179"/>
      <c r="P613" s="179"/>
      <c r="Q613" s="179"/>
      <c r="R613" s="179"/>
      <c r="S613" s="179"/>
      <c r="T613" s="179"/>
      <c r="U613" s="179"/>
      <c r="V613" s="179"/>
      <c r="W613" s="179"/>
      <c r="X613" s="179"/>
      <c r="Y613" s="179"/>
      <c r="Z613" s="179"/>
      <c r="AA613" s="179"/>
      <c r="AB613" s="179"/>
      <c r="AC613" s="179"/>
      <c r="AD613" s="179"/>
      <c r="AE613" s="179"/>
      <c r="AF613" s="179"/>
      <c r="AG613" s="179"/>
      <c r="AH613" s="179"/>
      <c r="AI613" s="179"/>
      <c r="AJ613" s="179"/>
      <c r="AK613" s="179"/>
      <c r="AL613" s="179"/>
      <c r="AM613" s="179"/>
      <c r="AN613" s="179"/>
      <c r="AO613" s="179"/>
    </row>
    <row r="614" spans="3:41" hidden="1" x14ac:dyDescent="0.2">
      <c r="C614" s="179" t="str">
        <f t="shared" ref="C614:D618" si="259">C257</f>
        <v>Special rate</v>
      </c>
      <c r="D614" s="179" t="str">
        <f t="shared" si="259"/>
        <v/>
      </c>
      <c r="E614" s="179"/>
      <c r="F614" s="179">
        <f>F257*'WK3 - Notional GI Yr1 YIELD'!$D117</f>
        <v>0</v>
      </c>
      <c r="G614" s="179">
        <f>G257*'WK3 - Notional GI Yr1 YIELD'!$D117</f>
        <v>0</v>
      </c>
      <c r="H614" s="179">
        <f>H257*'WK3 - Notional GI Yr1 YIELD'!$D117</f>
        <v>0</v>
      </c>
      <c r="I614" s="179">
        <f>I257*'WK3 - Notional GI Yr1 YIELD'!$D117</f>
        <v>0</v>
      </c>
      <c r="J614" s="179">
        <f>J257*'WK3 - Notional GI Yr1 YIELD'!$D117</f>
        <v>0</v>
      </c>
      <c r="K614" s="179">
        <f>K257*'WK3 - Notional GI Yr1 YIELD'!$D117</f>
        <v>0</v>
      </c>
      <c r="L614" s="179">
        <f>L257*'WK3 - Notional GI Yr1 YIELD'!$D117</f>
        <v>0</v>
      </c>
      <c r="M614" s="179"/>
      <c r="N614" s="179"/>
      <c r="O614" s="179"/>
      <c r="P614" s="179"/>
      <c r="Q614" s="179"/>
      <c r="R614" s="179"/>
      <c r="S614" s="179"/>
      <c r="T614" s="179"/>
      <c r="U614" s="179"/>
      <c r="V614" s="179"/>
      <c r="W614" s="179"/>
      <c r="X614" s="179"/>
      <c r="Y614" s="179"/>
      <c r="Z614" s="179"/>
      <c r="AA614" s="179"/>
      <c r="AB614" s="179"/>
      <c r="AC614" s="179"/>
      <c r="AD614" s="179"/>
      <c r="AE614" s="179"/>
      <c r="AF614" s="179"/>
      <c r="AG614" s="179"/>
      <c r="AH614" s="179"/>
      <c r="AI614" s="179"/>
      <c r="AJ614" s="179"/>
      <c r="AK614" s="179"/>
      <c r="AL614" s="179"/>
      <c r="AM614" s="179"/>
      <c r="AN614" s="179"/>
      <c r="AO614" s="179"/>
    </row>
    <row r="615" spans="3:41" hidden="1" x14ac:dyDescent="0.2">
      <c r="C615" s="179" t="str">
        <f t="shared" si="259"/>
        <v>Special rate</v>
      </c>
      <c r="D615" s="179" t="str">
        <f t="shared" si="259"/>
        <v/>
      </c>
      <c r="E615" s="179"/>
      <c r="F615" s="179">
        <f>F258*'WK3 - Notional GI Yr1 YIELD'!$D118</f>
        <v>0</v>
      </c>
      <c r="G615" s="179">
        <f>G258*'WK3 - Notional GI Yr1 YIELD'!$D118</f>
        <v>0</v>
      </c>
      <c r="H615" s="179">
        <f>H258*'WK3 - Notional GI Yr1 YIELD'!$D118</f>
        <v>0</v>
      </c>
      <c r="I615" s="179">
        <f>I258*'WK3 - Notional GI Yr1 YIELD'!$D118</f>
        <v>0</v>
      </c>
      <c r="J615" s="179">
        <f>J258*'WK3 - Notional GI Yr1 YIELD'!$D118</f>
        <v>0</v>
      </c>
      <c r="K615" s="179">
        <f>K258*'WK3 - Notional GI Yr1 YIELD'!$D118</f>
        <v>0</v>
      </c>
      <c r="L615" s="179">
        <f>L258*'WK3 - Notional GI Yr1 YIELD'!$D118</f>
        <v>0</v>
      </c>
      <c r="M615" s="179"/>
      <c r="N615" s="179"/>
      <c r="O615" s="179"/>
      <c r="P615" s="179"/>
      <c r="Q615" s="179"/>
      <c r="R615" s="179"/>
      <c r="S615" s="179"/>
      <c r="T615" s="179"/>
      <c r="U615" s="179"/>
      <c r="V615" s="179"/>
      <c r="W615" s="179"/>
      <c r="X615" s="179"/>
      <c r="Y615" s="179"/>
      <c r="Z615" s="179"/>
      <c r="AA615" s="179"/>
      <c r="AB615" s="179"/>
      <c r="AC615" s="179"/>
      <c r="AD615" s="179"/>
      <c r="AE615" s="179"/>
      <c r="AF615" s="179"/>
      <c r="AG615" s="179"/>
      <c r="AH615" s="179"/>
      <c r="AI615" s="179"/>
      <c r="AJ615" s="179"/>
      <c r="AK615" s="179"/>
      <c r="AL615" s="179"/>
      <c r="AM615" s="179"/>
      <c r="AN615" s="179"/>
      <c r="AO615" s="179"/>
    </row>
    <row r="616" spans="3:41" hidden="1" x14ac:dyDescent="0.2">
      <c r="C616" s="179" t="str">
        <f t="shared" si="259"/>
        <v>Special rate</v>
      </c>
      <c r="D616" s="179" t="str">
        <f t="shared" si="259"/>
        <v/>
      </c>
      <c r="E616" s="179"/>
      <c r="F616" s="179">
        <f>F259*'WK3 - Notional GI Yr1 YIELD'!$D119</f>
        <v>0</v>
      </c>
      <c r="G616" s="179">
        <f>G259*'WK3 - Notional GI Yr1 YIELD'!$D119</f>
        <v>0</v>
      </c>
      <c r="H616" s="179">
        <f>H259*'WK3 - Notional GI Yr1 YIELD'!$D119</f>
        <v>0</v>
      </c>
      <c r="I616" s="179">
        <f>I259*'WK3 - Notional GI Yr1 YIELD'!$D119</f>
        <v>0</v>
      </c>
      <c r="J616" s="179">
        <f>J259*'WK3 - Notional GI Yr1 YIELD'!$D119</f>
        <v>0</v>
      </c>
      <c r="K616" s="179">
        <f>K259*'WK3 - Notional GI Yr1 YIELD'!$D119</f>
        <v>0</v>
      </c>
      <c r="L616" s="179">
        <f>L259*'WK3 - Notional GI Yr1 YIELD'!$D119</f>
        <v>0</v>
      </c>
      <c r="M616" s="179"/>
      <c r="N616" s="179"/>
      <c r="O616" s="179"/>
      <c r="P616" s="179"/>
      <c r="Q616" s="179"/>
      <c r="R616" s="179"/>
      <c r="S616" s="179"/>
      <c r="T616" s="179"/>
      <c r="U616" s="179"/>
      <c r="V616" s="179"/>
      <c r="W616" s="179"/>
      <c r="X616" s="179"/>
      <c r="Y616" s="179"/>
      <c r="Z616" s="179"/>
      <c r="AA616" s="179"/>
      <c r="AB616" s="179"/>
      <c r="AC616" s="179"/>
      <c r="AD616" s="179"/>
      <c r="AE616" s="179"/>
      <c r="AF616" s="179"/>
      <c r="AG616" s="179"/>
      <c r="AH616" s="179"/>
      <c r="AI616" s="179"/>
      <c r="AJ616" s="179"/>
      <c r="AK616" s="179"/>
      <c r="AL616" s="179"/>
      <c r="AM616" s="179"/>
      <c r="AN616" s="179"/>
      <c r="AO616" s="179"/>
    </row>
    <row r="617" spans="3:41" hidden="1" x14ac:dyDescent="0.2">
      <c r="C617" s="179" t="str">
        <f t="shared" si="259"/>
        <v>Special rate</v>
      </c>
      <c r="D617" s="179" t="str">
        <f t="shared" si="259"/>
        <v/>
      </c>
      <c r="E617" s="179"/>
      <c r="F617" s="179">
        <f>F260*'WK3 - Notional GI Yr1 YIELD'!$D120</f>
        <v>0</v>
      </c>
      <c r="G617" s="179">
        <f>G260*'WK3 - Notional GI Yr1 YIELD'!$D120</f>
        <v>0</v>
      </c>
      <c r="H617" s="179">
        <f>H260*'WK3 - Notional GI Yr1 YIELD'!$D120</f>
        <v>0</v>
      </c>
      <c r="I617" s="179">
        <f>I260*'WK3 - Notional GI Yr1 YIELD'!$D120</f>
        <v>0</v>
      </c>
      <c r="J617" s="179">
        <f>J260*'WK3 - Notional GI Yr1 YIELD'!$D120</f>
        <v>0</v>
      </c>
      <c r="K617" s="179">
        <f>K260*'WK3 - Notional GI Yr1 YIELD'!$D120</f>
        <v>0</v>
      </c>
      <c r="L617" s="179">
        <f>L260*'WK3 - Notional GI Yr1 YIELD'!$D120</f>
        <v>0</v>
      </c>
      <c r="M617" s="179"/>
      <c r="N617" s="179"/>
      <c r="O617" s="179"/>
      <c r="P617" s="179"/>
      <c r="Q617" s="179"/>
      <c r="R617" s="179"/>
      <c r="S617" s="179"/>
      <c r="T617" s="179"/>
      <c r="U617" s="179"/>
      <c r="V617" s="179"/>
      <c r="W617" s="179"/>
      <c r="X617" s="179"/>
      <c r="Y617" s="179"/>
      <c r="Z617" s="179"/>
      <c r="AA617" s="179"/>
      <c r="AB617" s="179"/>
      <c r="AC617" s="179"/>
      <c r="AD617" s="179"/>
      <c r="AE617" s="179"/>
      <c r="AF617" s="179"/>
      <c r="AG617" s="179"/>
      <c r="AH617" s="179"/>
      <c r="AI617" s="179"/>
      <c r="AJ617" s="179"/>
      <c r="AK617" s="179"/>
      <c r="AL617" s="179"/>
      <c r="AM617" s="179"/>
      <c r="AN617" s="179"/>
      <c r="AO617" s="179"/>
    </row>
    <row r="618" spans="3:41" hidden="1" x14ac:dyDescent="0.2">
      <c r="C618" s="179" t="str">
        <f t="shared" si="259"/>
        <v>Special rate</v>
      </c>
      <c r="D618" s="179" t="str">
        <f t="shared" si="259"/>
        <v/>
      </c>
      <c r="E618" s="179"/>
      <c r="F618" s="179">
        <f>F261*'WK3 - Notional GI Yr1 YIELD'!$D121</f>
        <v>0</v>
      </c>
      <c r="G618" s="179">
        <f>G261*'WK3 - Notional GI Yr1 YIELD'!$D121</f>
        <v>0</v>
      </c>
      <c r="H618" s="179">
        <f>H261*'WK3 - Notional GI Yr1 YIELD'!$D121</f>
        <v>0</v>
      </c>
      <c r="I618" s="179">
        <f>I261*'WK3 - Notional GI Yr1 YIELD'!$D121</f>
        <v>0</v>
      </c>
      <c r="J618" s="179">
        <f>J261*'WK3 - Notional GI Yr1 YIELD'!$D121</f>
        <v>0</v>
      </c>
      <c r="K618" s="179">
        <f>K261*'WK3 - Notional GI Yr1 YIELD'!$D121</f>
        <v>0</v>
      </c>
      <c r="L618" s="179">
        <f>L261*'WK3 - Notional GI Yr1 YIELD'!$D121</f>
        <v>0</v>
      </c>
      <c r="M618" s="179"/>
      <c r="N618" s="179"/>
      <c r="O618" s="179"/>
      <c r="P618" s="179"/>
      <c r="Q618" s="179"/>
      <c r="R618" s="179"/>
      <c r="S618" s="179"/>
      <c r="T618" s="179"/>
      <c r="U618" s="179"/>
      <c r="V618" s="179"/>
      <c r="W618" s="179"/>
      <c r="X618" s="179"/>
      <c r="Y618" s="179"/>
      <c r="Z618" s="179"/>
      <c r="AA618" s="179"/>
      <c r="AB618" s="179"/>
      <c r="AC618" s="179"/>
      <c r="AD618" s="179"/>
      <c r="AE618" s="179"/>
      <c r="AF618" s="179"/>
      <c r="AG618" s="179"/>
      <c r="AH618" s="179"/>
      <c r="AI618" s="179"/>
      <c r="AJ618" s="179"/>
      <c r="AK618" s="179"/>
      <c r="AL618" s="179"/>
      <c r="AM618" s="179"/>
      <c r="AN618" s="179"/>
      <c r="AO618" s="179"/>
    </row>
    <row r="619" spans="3:41" s="162" customFormat="1" ht="12" hidden="1" x14ac:dyDescent="0.25">
      <c r="C619" s="656"/>
      <c r="D619" s="656" t="str">
        <f>D495</f>
        <v>TOTAL INCOME FROM BUSINESS</v>
      </c>
      <c r="E619" s="656"/>
      <c r="F619" s="656">
        <f>SUM(F574:F618)</f>
        <v>5990284.7746048309</v>
      </c>
      <c r="G619" s="656">
        <f t="shared" ref="G619:L619" si="260">SUM(G574:G618)</f>
        <v>6140041.8939699512</v>
      </c>
      <c r="H619" s="656">
        <f t="shared" si="260"/>
        <v>6293542.9413191983</v>
      </c>
      <c r="I619" s="656">
        <f t="shared" si="260"/>
        <v>6450881.5148521774</v>
      </c>
      <c r="J619" s="656">
        <f t="shared" si="260"/>
        <v>6612153.5527234813</v>
      </c>
      <c r="K619" s="656">
        <f t="shared" si="260"/>
        <v>0</v>
      </c>
      <c r="L619" s="656">
        <f t="shared" si="260"/>
        <v>0</v>
      </c>
      <c r="M619" s="179">
        <f>SUM(M574:M618)</f>
        <v>0</v>
      </c>
      <c r="N619" s="656"/>
      <c r="O619" s="656"/>
      <c r="P619" s="656"/>
      <c r="Q619" s="656"/>
      <c r="R619" s="656"/>
      <c r="S619" s="656"/>
      <c r="T619" s="656"/>
      <c r="U619" s="656"/>
      <c r="V619" s="656"/>
      <c r="W619" s="656"/>
      <c r="X619" s="656"/>
      <c r="Y619" s="656"/>
      <c r="Z619" s="656"/>
      <c r="AA619" s="656"/>
      <c r="AB619" s="656"/>
      <c r="AC619" s="656"/>
      <c r="AD619" s="656"/>
      <c r="AE619" s="656"/>
      <c r="AF619" s="656"/>
      <c r="AG619" s="656"/>
      <c r="AH619" s="656"/>
      <c r="AI619" s="656"/>
      <c r="AJ619" s="656"/>
      <c r="AK619" s="656"/>
      <c r="AL619" s="656"/>
      <c r="AM619" s="656"/>
      <c r="AN619" s="656"/>
      <c r="AO619" s="656"/>
    </row>
    <row r="620" spans="3:41" hidden="1" x14ac:dyDescent="0.2">
      <c r="C620" s="179" t="str">
        <f>C263</f>
        <v>Farmland</v>
      </c>
      <c r="D620" s="179" t="str">
        <f>D263</f>
        <v/>
      </c>
      <c r="E620" s="179"/>
      <c r="F620" s="179">
        <f>F263*'WK3 - Notional GI Yr1 YIELD'!$D61</f>
        <v>4562283.9597587995</v>
      </c>
      <c r="G620" s="179">
        <f>G263*'WK3 - Notional GI Yr1 YIELD'!$D61</f>
        <v>4676341.0587527696</v>
      </c>
      <c r="H620" s="179">
        <f>H263*'WK3 - Notional GI Yr1 YIELD'!$D61</f>
        <v>4793249.5852215877</v>
      </c>
      <c r="I620" s="179">
        <f>I263*'WK3 - Notional GI Yr1 YIELD'!$D61</f>
        <v>4913080.8248521276</v>
      </c>
      <c r="J620" s="179">
        <f>J263*'WK3 - Notional GI Yr1 YIELD'!$D61</f>
        <v>5035907.8454734301</v>
      </c>
      <c r="K620" s="179">
        <f>K263*'WK3 - Notional GI Yr1 YIELD'!$D61</f>
        <v>0</v>
      </c>
      <c r="L620" s="179">
        <f>L263*'WK3 - Notional GI Yr1 YIELD'!$D61</f>
        <v>0</v>
      </c>
      <c r="M620" s="179"/>
      <c r="N620" s="179"/>
      <c r="O620" s="179"/>
      <c r="P620" s="179"/>
      <c r="Q620" s="179"/>
      <c r="R620" s="179"/>
      <c r="S620" s="179"/>
      <c r="T620" s="179"/>
      <c r="U620" s="179"/>
      <c r="V620" s="179"/>
      <c r="W620" s="179"/>
      <c r="X620" s="179"/>
      <c r="Y620" s="179"/>
      <c r="Z620" s="179"/>
      <c r="AA620" s="179"/>
      <c r="AB620" s="179"/>
      <c r="AC620" s="179"/>
      <c r="AD620" s="179"/>
      <c r="AE620" s="179"/>
      <c r="AF620" s="179"/>
      <c r="AG620" s="179"/>
      <c r="AH620" s="179"/>
      <c r="AI620" s="179"/>
      <c r="AJ620" s="179"/>
      <c r="AK620" s="179"/>
      <c r="AL620" s="179"/>
      <c r="AM620" s="179"/>
      <c r="AN620" s="179"/>
      <c r="AO620" s="179"/>
    </row>
    <row r="621" spans="3:41" hidden="1" x14ac:dyDescent="0.2">
      <c r="C621" s="179" t="str">
        <f t="shared" ref="C621:D629" si="261">C264</f>
        <v>Farmland</v>
      </c>
      <c r="D621" s="179" t="str">
        <f t="shared" si="261"/>
        <v/>
      </c>
      <c r="E621" s="179"/>
      <c r="F621" s="179">
        <f>F264*'WK3 - Notional GI Yr1 YIELD'!$D62</f>
        <v>0</v>
      </c>
      <c r="G621" s="179">
        <f>G264*'WK3 - Notional GI Yr1 YIELD'!$D62</f>
        <v>0</v>
      </c>
      <c r="H621" s="179">
        <f>H264*'WK3 - Notional GI Yr1 YIELD'!$D62</f>
        <v>0</v>
      </c>
      <c r="I621" s="179">
        <f>I264*'WK3 - Notional GI Yr1 YIELD'!$D62</f>
        <v>0</v>
      </c>
      <c r="J621" s="179">
        <f>J264*'WK3 - Notional GI Yr1 YIELD'!$D62</f>
        <v>0</v>
      </c>
      <c r="K621" s="179">
        <f>K264*'WK3 - Notional GI Yr1 YIELD'!$D62</f>
        <v>0</v>
      </c>
      <c r="L621" s="179">
        <f>L264*'WK3 - Notional GI Yr1 YIELD'!$D62</f>
        <v>0</v>
      </c>
      <c r="M621" s="179"/>
      <c r="N621" s="179"/>
      <c r="O621" s="179"/>
      <c r="P621" s="179"/>
      <c r="Q621" s="179"/>
      <c r="R621" s="179"/>
      <c r="S621" s="179"/>
      <c r="T621" s="179"/>
      <c r="U621" s="179"/>
      <c r="V621" s="179"/>
      <c r="W621" s="179"/>
      <c r="X621" s="179"/>
      <c r="Y621" s="179"/>
      <c r="Z621" s="179"/>
      <c r="AA621" s="179"/>
      <c r="AB621" s="179"/>
      <c r="AC621" s="179"/>
      <c r="AD621" s="179"/>
      <c r="AE621" s="179"/>
      <c r="AF621" s="179"/>
      <c r="AG621" s="179"/>
      <c r="AH621" s="179"/>
      <c r="AI621" s="179"/>
      <c r="AJ621" s="179"/>
      <c r="AK621" s="179"/>
      <c r="AL621" s="179"/>
      <c r="AM621" s="179"/>
      <c r="AN621" s="179"/>
      <c r="AO621" s="179"/>
    </row>
    <row r="622" spans="3:41" hidden="1" x14ac:dyDescent="0.2">
      <c r="C622" s="179" t="str">
        <f t="shared" si="261"/>
        <v>Farmland</v>
      </c>
      <c r="D622" s="179" t="str">
        <f t="shared" si="261"/>
        <v/>
      </c>
      <c r="E622" s="179"/>
      <c r="F622" s="179">
        <f>F265*'WK3 - Notional GI Yr1 YIELD'!$D63</f>
        <v>0</v>
      </c>
      <c r="G622" s="179">
        <f>G265*'WK3 - Notional GI Yr1 YIELD'!$D63</f>
        <v>0</v>
      </c>
      <c r="H622" s="179">
        <f>H265*'WK3 - Notional GI Yr1 YIELD'!$D63</f>
        <v>0</v>
      </c>
      <c r="I622" s="179">
        <f>I265*'WK3 - Notional GI Yr1 YIELD'!$D63</f>
        <v>0</v>
      </c>
      <c r="J622" s="179">
        <f>J265*'WK3 - Notional GI Yr1 YIELD'!$D63</f>
        <v>0</v>
      </c>
      <c r="K622" s="179">
        <f>K265*'WK3 - Notional GI Yr1 YIELD'!$D63</f>
        <v>0</v>
      </c>
      <c r="L622" s="179">
        <f>L265*'WK3 - Notional GI Yr1 YIELD'!$D63</f>
        <v>0</v>
      </c>
      <c r="M622" s="179"/>
      <c r="N622" s="179"/>
      <c r="O622" s="179"/>
      <c r="P622" s="179"/>
      <c r="Q622" s="179"/>
      <c r="R622" s="179"/>
      <c r="S622" s="179"/>
      <c r="T622" s="179"/>
      <c r="U622" s="179"/>
      <c r="V622" s="179"/>
      <c r="W622" s="179"/>
      <c r="X622" s="179"/>
      <c r="Y622" s="179"/>
      <c r="Z622" s="179"/>
      <c r="AA622" s="179"/>
      <c r="AB622" s="179"/>
      <c r="AC622" s="179"/>
      <c r="AD622" s="179"/>
      <c r="AE622" s="179"/>
      <c r="AF622" s="179"/>
      <c r="AG622" s="179"/>
      <c r="AH622" s="179"/>
      <c r="AI622" s="179"/>
      <c r="AJ622" s="179"/>
      <c r="AK622" s="179"/>
      <c r="AL622" s="179"/>
      <c r="AM622" s="179"/>
      <c r="AN622" s="179"/>
      <c r="AO622" s="179"/>
    </row>
    <row r="623" spans="3:41" hidden="1" x14ac:dyDescent="0.2">
      <c r="C623" s="179" t="str">
        <f t="shared" si="261"/>
        <v>Farmland</v>
      </c>
      <c r="D623" s="179" t="str">
        <f t="shared" si="261"/>
        <v/>
      </c>
      <c r="E623" s="179"/>
      <c r="F623" s="179">
        <f>F266*'WK3 - Notional GI Yr1 YIELD'!$D64</f>
        <v>0</v>
      </c>
      <c r="G623" s="179">
        <f>G266*'WK3 - Notional GI Yr1 YIELD'!$D64</f>
        <v>0</v>
      </c>
      <c r="H623" s="179">
        <f>H266*'WK3 - Notional GI Yr1 YIELD'!$D64</f>
        <v>0</v>
      </c>
      <c r="I623" s="179">
        <f>I266*'WK3 - Notional GI Yr1 YIELD'!$D64</f>
        <v>0</v>
      </c>
      <c r="J623" s="179">
        <f>J266*'WK3 - Notional GI Yr1 YIELD'!$D64</f>
        <v>0</v>
      </c>
      <c r="K623" s="179">
        <f>K266*'WK3 - Notional GI Yr1 YIELD'!$D64</f>
        <v>0</v>
      </c>
      <c r="L623" s="179">
        <f>L266*'WK3 - Notional GI Yr1 YIELD'!$D64</f>
        <v>0</v>
      </c>
      <c r="M623" s="179"/>
      <c r="N623" s="179"/>
      <c r="O623" s="179"/>
      <c r="P623" s="179"/>
      <c r="Q623" s="179"/>
      <c r="R623" s="179"/>
      <c r="S623" s="179"/>
      <c r="T623" s="179"/>
      <c r="U623" s="179"/>
      <c r="V623" s="179"/>
      <c r="W623" s="179"/>
      <c r="X623" s="179"/>
      <c r="Y623" s="179"/>
      <c r="Z623" s="179"/>
      <c r="AA623" s="179"/>
      <c r="AB623" s="179"/>
      <c r="AC623" s="179"/>
      <c r="AD623" s="179"/>
      <c r="AE623" s="179"/>
      <c r="AF623" s="179"/>
      <c r="AG623" s="179"/>
      <c r="AH623" s="179"/>
      <c r="AI623" s="179"/>
      <c r="AJ623" s="179"/>
      <c r="AK623" s="179"/>
      <c r="AL623" s="179"/>
      <c r="AM623" s="179"/>
      <c r="AN623" s="179"/>
      <c r="AO623" s="179"/>
    </row>
    <row r="624" spans="3:41" hidden="1" x14ac:dyDescent="0.2">
      <c r="C624" s="179" t="str">
        <f t="shared" si="261"/>
        <v>Farmland</v>
      </c>
      <c r="D624" s="179" t="str">
        <f t="shared" si="261"/>
        <v/>
      </c>
      <c r="E624" s="179"/>
      <c r="F624" s="179">
        <f>F267*'WK3 - Notional GI Yr1 YIELD'!$D65</f>
        <v>0</v>
      </c>
      <c r="G624" s="179">
        <f>G267*'WK3 - Notional GI Yr1 YIELD'!$D65</f>
        <v>0</v>
      </c>
      <c r="H624" s="179">
        <f>H267*'WK3 - Notional GI Yr1 YIELD'!$D65</f>
        <v>0</v>
      </c>
      <c r="I624" s="179">
        <f>I267*'WK3 - Notional GI Yr1 YIELD'!$D65</f>
        <v>0</v>
      </c>
      <c r="J624" s="179">
        <f>J267*'WK3 - Notional GI Yr1 YIELD'!$D65</f>
        <v>0</v>
      </c>
      <c r="K624" s="179">
        <f>K267*'WK3 - Notional GI Yr1 YIELD'!$D65</f>
        <v>0</v>
      </c>
      <c r="L624" s="179">
        <f>L267*'WK3 - Notional GI Yr1 YIELD'!$D65</f>
        <v>0</v>
      </c>
      <c r="M624" s="179"/>
      <c r="N624" s="179"/>
      <c r="O624" s="179"/>
      <c r="P624" s="179"/>
      <c r="Q624" s="179"/>
      <c r="R624" s="179"/>
      <c r="S624" s="179"/>
      <c r="T624" s="179"/>
      <c r="U624" s="179"/>
      <c r="V624" s="179"/>
      <c r="W624" s="179"/>
      <c r="X624" s="179"/>
      <c r="Y624" s="179"/>
      <c r="Z624" s="179"/>
      <c r="AA624" s="179"/>
      <c r="AB624" s="179"/>
      <c r="AC624" s="179"/>
      <c r="AD624" s="179"/>
      <c r="AE624" s="179"/>
      <c r="AF624" s="179"/>
      <c r="AG624" s="179"/>
      <c r="AH624" s="179"/>
      <c r="AI624" s="179"/>
      <c r="AJ624" s="179"/>
      <c r="AK624" s="179"/>
      <c r="AL624" s="179"/>
      <c r="AM624" s="179"/>
      <c r="AN624" s="179"/>
      <c r="AO624" s="179"/>
    </row>
    <row r="625" spans="3:41" hidden="1" x14ac:dyDescent="0.2">
      <c r="C625" s="179" t="str">
        <f t="shared" si="261"/>
        <v>Farmland</v>
      </c>
      <c r="D625" s="179" t="str">
        <f t="shared" si="261"/>
        <v/>
      </c>
      <c r="E625" s="179"/>
      <c r="F625" s="179">
        <f>F268*'WK3 - Notional GI Yr1 YIELD'!$D66</f>
        <v>0</v>
      </c>
      <c r="G625" s="179">
        <f>G268*'WK3 - Notional GI Yr1 YIELD'!$D66</f>
        <v>0</v>
      </c>
      <c r="H625" s="179">
        <f>H268*'WK3 - Notional GI Yr1 YIELD'!$D66</f>
        <v>0</v>
      </c>
      <c r="I625" s="179">
        <f>I268*'WK3 - Notional GI Yr1 YIELD'!$D66</f>
        <v>0</v>
      </c>
      <c r="J625" s="179">
        <f>J268*'WK3 - Notional GI Yr1 YIELD'!$D66</f>
        <v>0</v>
      </c>
      <c r="K625" s="179">
        <f>K268*'WK3 - Notional GI Yr1 YIELD'!$D66</f>
        <v>0</v>
      </c>
      <c r="L625" s="179">
        <f>L268*'WK3 - Notional GI Yr1 YIELD'!$D66</f>
        <v>0</v>
      </c>
      <c r="M625" s="179"/>
      <c r="N625" s="179"/>
      <c r="O625" s="179"/>
      <c r="P625" s="179"/>
      <c r="Q625" s="179"/>
      <c r="R625" s="179"/>
      <c r="S625" s="179"/>
      <c r="T625" s="179"/>
      <c r="U625" s="179"/>
      <c r="V625" s="179"/>
      <c r="W625" s="179"/>
      <c r="X625" s="179"/>
      <c r="Y625" s="179"/>
      <c r="Z625" s="179"/>
      <c r="AA625" s="179"/>
      <c r="AB625" s="179"/>
      <c r="AC625" s="179"/>
      <c r="AD625" s="179"/>
      <c r="AE625" s="179"/>
      <c r="AF625" s="179"/>
      <c r="AG625" s="179"/>
      <c r="AH625" s="179"/>
      <c r="AI625" s="179"/>
      <c r="AJ625" s="179"/>
      <c r="AK625" s="179"/>
      <c r="AL625" s="179"/>
      <c r="AM625" s="179"/>
      <c r="AN625" s="179"/>
      <c r="AO625" s="179"/>
    </row>
    <row r="626" spans="3:41" hidden="1" x14ac:dyDescent="0.2">
      <c r="C626" s="179" t="str">
        <f t="shared" si="261"/>
        <v>Farmland</v>
      </c>
      <c r="D626" s="179" t="str">
        <f t="shared" si="261"/>
        <v/>
      </c>
      <c r="E626" s="179"/>
      <c r="F626" s="179">
        <f>F269*'WK3 - Notional GI Yr1 YIELD'!$D67</f>
        <v>0</v>
      </c>
      <c r="G626" s="179">
        <f>G269*'WK3 - Notional GI Yr1 YIELD'!$D67</f>
        <v>0</v>
      </c>
      <c r="H626" s="179">
        <f>H269*'WK3 - Notional GI Yr1 YIELD'!$D67</f>
        <v>0</v>
      </c>
      <c r="I626" s="179">
        <f>I269*'WK3 - Notional GI Yr1 YIELD'!$D67</f>
        <v>0</v>
      </c>
      <c r="J626" s="179">
        <f>J269*'WK3 - Notional GI Yr1 YIELD'!$D67</f>
        <v>0</v>
      </c>
      <c r="K626" s="179">
        <f>K269*'WK3 - Notional GI Yr1 YIELD'!$D67</f>
        <v>0</v>
      </c>
      <c r="L626" s="179">
        <f>L269*'WK3 - Notional GI Yr1 YIELD'!$D67</f>
        <v>0</v>
      </c>
      <c r="M626" s="179"/>
      <c r="N626" s="179"/>
      <c r="O626" s="179"/>
      <c r="P626" s="179"/>
      <c r="Q626" s="179"/>
      <c r="R626" s="179"/>
      <c r="S626" s="179"/>
      <c r="T626" s="179"/>
      <c r="U626" s="179"/>
      <c r="V626" s="179"/>
      <c r="W626" s="179"/>
      <c r="X626" s="179"/>
      <c r="Y626" s="179"/>
      <c r="Z626" s="179"/>
      <c r="AA626" s="179"/>
      <c r="AB626" s="179"/>
      <c r="AC626" s="179"/>
      <c r="AD626" s="179"/>
      <c r="AE626" s="179"/>
      <c r="AF626" s="179"/>
      <c r="AG626" s="179"/>
      <c r="AH626" s="179"/>
      <c r="AI626" s="179"/>
      <c r="AJ626" s="179"/>
      <c r="AK626" s="179"/>
      <c r="AL626" s="179"/>
      <c r="AM626" s="179"/>
      <c r="AN626" s="179"/>
      <c r="AO626" s="179"/>
    </row>
    <row r="627" spans="3:41" hidden="1" x14ac:dyDescent="0.2">
      <c r="C627" s="179" t="str">
        <f t="shared" si="261"/>
        <v>Farmland</v>
      </c>
      <c r="D627" s="179" t="str">
        <f t="shared" si="261"/>
        <v/>
      </c>
      <c r="E627" s="179"/>
      <c r="F627" s="179">
        <f>F270*'WK3 - Notional GI Yr1 YIELD'!$D68</f>
        <v>0</v>
      </c>
      <c r="G627" s="179">
        <f>G270*'WK3 - Notional GI Yr1 YIELD'!$D68</f>
        <v>0</v>
      </c>
      <c r="H627" s="179">
        <f>H270*'WK3 - Notional GI Yr1 YIELD'!$D68</f>
        <v>0</v>
      </c>
      <c r="I627" s="179">
        <f>I270*'WK3 - Notional GI Yr1 YIELD'!$D68</f>
        <v>0</v>
      </c>
      <c r="J627" s="179">
        <f>J270*'WK3 - Notional GI Yr1 YIELD'!$D68</f>
        <v>0</v>
      </c>
      <c r="K627" s="179">
        <f>K270*'WK3 - Notional GI Yr1 YIELD'!$D68</f>
        <v>0</v>
      </c>
      <c r="L627" s="179">
        <f>L270*'WK3 - Notional GI Yr1 YIELD'!$D68</f>
        <v>0</v>
      </c>
      <c r="M627" s="179"/>
      <c r="N627" s="179"/>
      <c r="O627" s="179"/>
      <c r="P627" s="179"/>
      <c r="Q627" s="179"/>
      <c r="R627" s="179"/>
      <c r="S627" s="179"/>
      <c r="T627" s="179"/>
      <c r="U627" s="179"/>
      <c r="V627" s="179"/>
      <c r="W627" s="179"/>
      <c r="X627" s="179"/>
      <c r="Y627" s="179"/>
      <c r="Z627" s="179"/>
      <c r="AA627" s="179"/>
      <c r="AB627" s="179"/>
      <c r="AC627" s="179"/>
      <c r="AD627" s="179"/>
      <c r="AE627" s="179"/>
      <c r="AF627" s="179"/>
      <c r="AG627" s="179"/>
      <c r="AH627" s="179"/>
      <c r="AI627" s="179"/>
      <c r="AJ627" s="179"/>
      <c r="AK627" s="179"/>
      <c r="AL627" s="179"/>
      <c r="AM627" s="179"/>
      <c r="AN627" s="179"/>
      <c r="AO627" s="179"/>
    </row>
    <row r="628" spans="3:41" hidden="1" x14ac:dyDescent="0.2">
      <c r="C628" s="179" t="str">
        <f t="shared" si="261"/>
        <v>Farmland</v>
      </c>
      <c r="D628" s="179" t="str">
        <f t="shared" si="261"/>
        <v/>
      </c>
      <c r="E628" s="179"/>
      <c r="F628" s="179">
        <f>F271*'WK3 - Notional GI Yr1 YIELD'!$D69</f>
        <v>0</v>
      </c>
      <c r="G628" s="179">
        <f>G271*'WK3 - Notional GI Yr1 YIELD'!$D69</f>
        <v>0</v>
      </c>
      <c r="H628" s="179">
        <f>H271*'WK3 - Notional GI Yr1 YIELD'!$D69</f>
        <v>0</v>
      </c>
      <c r="I628" s="179">
        <f>I271*'WK3 - Notional GI Yr1 YIELD'!$D69</f>
        <v>0</v>
      </c>
      <c r="J628" s="179">
        <f>J271*'WK3 - Notional GI Yr1 YIELD'!$D69</f>
        <v>0</v>
      </c>
      <c r="K628" s="179">
        <f>K271*'WK3 - Notional GI Yr1 YIELD'!$D69</f>
        <v>0</v>
      </c>
      <c r="L628" s="179">
        <f>L271*'WK3 - Notional GI Yr1 YIELD'!$D69</f>
        <v>0</v>
      </c>
      <c r="M628" s="179"/>
      <c r="N628" s="179"/>
      <c r="O628" s="179"/>
      <c r="P628" s="179"/>
      <c r="Q628" s="179"/>
      <c r="R628" s="179"/>
      <c r="S628" s="179"/>
      <c r="T628" s="179"/>
      <c r="U628" s="179"/>
      <c r="V628" s="179"/>
      <c r="W628" s="179"/>
      <c r="X628" s="179"/>
      <c r="Y628" s="179"/>
      <c r="Z628" s="179"/>
      <c r="AA628" s="179"/>
      <c r="AB628" s="179"/>
      <c r="AC628" s="179"/>
      <c r="AD628" s="179"/>
      <c r="AE628" s="179"/>
      <c r="AF628" s="179"/>
      <c r="AG628" s="179"/>
      <c r="AH628" s="179"/>
      <c r="AI628" s="179"/>
      <c r="AJ628" s="179"/>
      <c r="AK628" s="179"/>
      <c r="AL628" s="179"/>
      <c r="AM628" s="179"/>
      <c r="AN628" s="179"/>
      <c r="AO628" s="179"/>
    </row>
    <row r="629" spans="3:41" hidden="1" x14ac:dyDescent="0.2">
      <c r="C629" s="179" t="str">
        <f t="shared" si="261"/>
        <v>Farmland</v>
      </c>
      <c r="D629" s="179" t="str">
        <f t="shared" si="261"/>
        <v/>
      </c>
      <c r="E629" s="179"/>
      <c r="F629" s="179">
        <f>F272*'WK3 - Notional GI Yr1 YIELD'!$D70</f>
        <v>0</v>
      </c>
      <c r="G629" s="179">
        <f>G272*'WK3 - Notional GI Yr1 YIELD'!$D70</f>
        <v>0</v>
      </c>
      <c r="H629" s="179">
        <f>H272*'WK3 - Notional GI Yr1 YIELD'!$D70</f>
        <v>0</v>
      </c>
      <c r="I629" s="179">
        <f>I272*'WK3 - Notional GI Yr1 YIELD'!$D70</f>
        <v>0</v>
      </c>
      <c r="J629" s="179">
        <f>J272*'WK3 - Notional GI Yr1 YIELD'!$D70</f>
        <v>0</v>
      </c>
      <c r="K629" s="179">
        <f>K272*'WK3 - Notional GI Yr1 YIELD'!$D70</f>
        <v>0</v>
      </c>
      <c r="L629" s="179">
        <f>L272*'WK3 - Notional GI Yr1 YIELD'!$D70</f>
        <v>0</v>
      </c>
      <c r="M629" s="179"/>
      <c r="N629" s="179"/>
      <c r="O629" s="179"/>
      <c r="P629" s="179"/>
      <c r="Q629" s="179"/>
      <c r="R629" s="179"/>
      <c r="S629" s="179"/>
      <c r="T629" s="179"/>
      <c r="U629" s="179"/>
      <c r="V629" s="179"/>
      <c r="W629" s="179"/>
      <c r="X629" s="179"/>
      <c r="Y629" s="179"/>
      <c r="Z629" s="179"/>
      <c r="AA629" s="179"/>
      <c r="AB629" s="179"/>
      <c r="AC629" s="179"/>
      <c r="AD629" s="179"/>
      <c r="AE629" s="179"/>
      <c r="AF629" s="179"/>
      <c r="AG629" s="179"/>
      <c r="AH629" s="179"/>
      <c r="AI629" s="179"/>
      <c r="AJ629" s="179"/>
      <c r="AK629" s="179"/>
      <c r="AL629" s="179"/>
      <c r="AM629" s="179"/>
      <c r="AN629" s="179"/>
      <c r="AO629" s="179"/>
    </row>
    <row r="630" spans="3:41" hidden="1" x14ac:dyDescent="0.2">
      <c r="C630" s="179" t="str">
        <f>C273</f>
        <v>Special rate</v>
      </c>
      <c r="D630" s="179" t="str">
        <f>D273</f>
        <v/>
      </c>
      <c r="E630" s="179"/>
      <c r="F630" s="179">
        <f>F273*'WK3 - Notional GI Yr1 YIELD'!$D122</f>
        <v>0</v>
      </c>
      <c r="G630" s="179">
        <f>G273*'WK3 - Notional GI Yr1 YIELD'!$D122</f>
        <v>0</v>
      </c>
      <c r="H630" s="179">
        <f>H273*'WK3 - Notional GI Yr1 YIELD'!$D122</f>
        <v>0</v>
      </c>
      <c r="I630" s="179">
        <f>I273*'WK3 - Notional GI Yr1 YIELD'!$D122</f>
        <v>0</v>
      </c>
      <c r="J630" s="179">
        <f>J273*'WK3 - Notional GI Yr1 YIELD'!$D122</f>
        <v>0</v>
      </c>
      <c r="K630" s="179">
        <f>K273*'WK3 - Notional GI Yr1 YIELD'!$D122</f>
        <v>0</v>
      </c>
      <c r="L630" s="179">
        <f>L273*'WK3 - Notional GI Yr1 YIELD'!$D122</f>
        <v>0</v>
      </c>
      <c r="M630" s="179"/>
      <c r="N630" s="179"/>
      <c r="O630" s="179"/>
      <c r="P630" s="179"/>
      <c r="Q630" s="179"/>
      <c r="R630" s="179"/>
      <c r="S630" s="179"/>
      <c r="T630" s="179"/>
      <c r="U630" s="179"/>
      <c r="V630" s="179"/>
      <c r="W630" s="179"/>
      <c r="X630" s="179"/>
      <c r="Y630" s="179"/>
      <c r="Z630" s="179"/>
      <c r="AA630" s="179"/>
      <c r="AB630" s="179"/>
      <c r="AC630" s="179"/>
      <c r="AD630" s="179"/>
      <c r="AE630" s="179"/>
      <c r="AF630" s="179"/>
      <c r="AG630" s="179"/>
      <c r="AH630" s="179"/>
      <c r="AI630" s="179"/>
      <c r="AJ630" s="179"/>
      <c r="AK630" s="179"/>
      <c r="AL630" s="179"/>
      <c r="AM630" s="179"/>
      <c r="AN630" s="179"/>
      <c r="AO630" s="179"/>
    </row>
    <row r="631" spans="3:41" hidden="1" x14ac:dyDescent="0.2">
      <c r="C631" s="179" t="str">
        <f t="shared" ref="C631:D639" si="262">C274</f>
        <v>Special rate</v>
      </c>
      <c r="D631" s="179" t="str">
        <f t="shared" si="262"/>
        <v/>
      </c>
      <c r="E631" s="179"/>
      <c r="F631" s="179">
        <f>F274*'WK3 - Notional GI Yr1 YIELD'!$D123</f>
        <v>0</v>
      </c>
      <c r="G631" s="179">
        <f>G274*'WK3 - Notional GI Yr1 YIELD'!$D123</f>
        <v>0</v>
      </c>
      <c r="H631" s="179">
        <f>H274*'WK3 - Notional GI Yr1 YIELD'!$D123</f>
        <v>0</v>
      </c>
      <c r="I631" s="179">
        <f>I274*'WK3 - Notional GI Yr1 YIELD'!$D123</f>
        <v>0</v>
      </c>
      <c r="J631" s="179">
        <f>J274*'WK3 - Notional GI Yr1 YIELD'!$D123</f>
        <v>0</v>
      </c>
      <c r="K631" s="179">
        <f>K274*'WK3 - Notional GI Yr1 YIELD'!$D123</f>
        <v>0</v>
      </c>
      <c r="L631" s="179">
        <f>L274*'WK3 - Notional GI Yr1 YIELD'!$D123</f>
        <v>0</v>
      </c>
      <c r="M631" s="179"/>
      <c r="N631" s="179"/>
      <c r="O631" s="179"/>
      <c r="P631" s="179"/>
      <c r="Q631" s="179"/>
      <c r="R631" s="179"/>
      <c r="S631" s="179"/>
      <c r="T631" s="179"/>
      <c r="U631" s="179"/>
      <c r="V631" s="179"/>
      <c r="W631" s="179"/>
      <c r="X631" s="179"/>
      <c r="Y631" s="179"/>
      <c r="Z631" s="179"/>
      <c r="AA631" s="179"/>
      <c r="AB631" s="179"/>
      <c r="AC631" s="179"/>
      <c r="AD631" s="179"/>
      <c r="AE631" s="179"/>
      <c r="AF631" s="179"/>
      <c r="AG631" s="179"/>
      <c r="AH631" s="179"/>
      <c r="AI631" s="179"/>
      <c r="AJ631" s="179"/>
      <c r="AK631" s="179"/>
      <c r="AL631" s="179"/>
      <c r="AM631" s="179"/>
      <c r="AN631" s="179"/>
      <c r="AO631" s="179"/>
    </row>
    <row r="632" spans="3:41" hidden="1" x14ac:dyDescent="0.2">
      <c r="C632" s="179" t="str">
        <f t="shared" si="262"/>
        <v>Special rate</v>
      </c>
      <c r="D632" s="179" t="str">
        <f t="shared" si="262"/>
        <v/>
      </c>
      <c r="E632" s="179"/>
      <c r="F632" s="179">
        <f>F275*'WK3 - Notional GI Yr1 YIELD'!$D124</f>
        <v>0</v>
      </c>
      <c r="G632" s="179">
        <f>G275*'WK3 - Notional GI Yr1 YIELD'!$D124</f>
        <v>0</v>
      </c>
      <c r="H632" s="179">
        <f>H275*'WK3 - Notional GI Yr1 YIELD'!$D124</f>
        <v>0</v>
      </c>
      <c r="I632" s="179">
        <f>I275*'WK3 - Notional GI Yr1 YIELD'!$D124</f>
        <v>0</v>
      </c>
      <c r="J632" s="179">
        <f>J275*'WK3 - Notional GI Yr1 YIELD'!$D124</f>
        <v>0</v>
      </c>
      <c r="K632" s="179">
        <f>K275*'WK3 - Notional GI Yr1 YIELD'!$D124</f>
        <v>0</v>
      </c>
      <c r="L632" s="179">
        <f>L275*'WK3 - Notional GI Yr1 YIELD'!$D124</f>
        <v>0</v>
      </c>
      <c r="M632" s="179"/>
      <c r="N632" s="179"/>
      <c r="O632" s="179"/>
      <c r="P632" s="179"/>
      <c r="Q632" s="179"/>
      <c r="R632" s="179"/>
      <c r="S632" s="179"/>
      <c r="T632" s="179"/>
      <c r="U632" s="179"/>
      <c r="V632" s="179"/>
      <c r="W632" s="179"/>
      <c r="X632" s="179"/>
      <c r="Y632" s="179"/>
      <c r="Z632" s="179"/>
      <c r="AA632" s="179"/>
      <c r="AB632" s="179"/>
      <c r="AC632" s="179"/>
      <c r="AD632" s="179"/>
      <c r="AE632" s="179"/>
      <c r="AF632" s="179"/>
      <c r="AG632" s="179"/>
      <c r="AH632" s="179"/>
      <c r="AI632" s="179"/>
      <c r="AJ632" s="179"/>
      <c r="AK632" s="179"/>
      <c r="AL632" s="179"/>
      <c r="AM632" s="179"/>
      <c r="AN632" s="179"/>
      <c r="AO632" s="179"/>
    </row>
    <row r="633" spans="3:41" hidden="1" x14ac:dyDescent="0.2">
      <c r="C633" s="179" t="str">
        <f t="shared" si="262"/>
        <v>Special rate</v>
      </c>
      <c r="D633" s="179" t="str">
        <f t="shared" si="262"/>
        <v/>
      </c>
      <c r="E633" s="179"/>
      <c r="F633" s="179">
        <f>F276*'WK3 - Notional GI Yr1 YIELD'!$D125</f>
        <v>0</v>
      </c>
      <c r="G633" s="179">
        <f>G276*'WK3 - Notional GI Yr1 YIELD'!$D125</f>
        <v>0</v>
      </c>
      <c r="H633" s="179">
        <f>H276*'WK3 - Notional GI Yr1 YIELD'!$D125</f>
        <v>0</v>
      </c>
      <c r="I633" s="179">
        <f>I276*'WK3 - Notional GI Yr1 YIELD'!$D125</f>
        <v>0</v>
      </c>
      <c r="J633" s="179">
        <f>J276*'WK3 - Notional GI Yr1 YIELD'!$D125</f>
        <v>0</v>
      </c>
      <c r="K633" s="179">
        <f>K276*'WK3 - Notional GI Yr1 YIELD'!$D125</f>
        <v>0</v>
      </c>
      <c r="L633" s="179">
        <f>L276*'WK3 - Notional GI Yr1 YIELD'!$D125</f>
        <v>0</v>
      </c>
      <c r="M633" s="179"/>
      <c r="N633" s="179"/>
      <c r="O633" s="179"/>
      <c r="P633" s="179"/>
      <c r="Q633" s="179"/>
      <c r="R633" s="179"/>
      <c r="S633" s="179"/>
      <c r="T633" s="179"/>
      <c r="U633" s="179"/>
      <c r="V633" s="179"/>
      <c r="W633" s="179"/>
      <c r="X633" s="179"/>
      <c r="Y633" s="179"/>
      <c r="Z633" s="179"/>
      <c r="AA633" s="179"/>
      <c r="AB633" s="179"/>
      <c r="AC633" s="179"/>
      <c r="AD633" s="179"/>
      <c r="AE633" s="179"/>
      <c r="AF633" s="179"/>
      <c r="AG633" s="179"/>
      <c r="AH633" s="179"/>
      <c r="AI633" s="179"/>
      <c r="AJ633" s="179"/>
      <c r="AK633" s="179"/>
      <c r="AL633" s="179"/>
      <c r="AM633" s="179"/>
      <c r="AN633" s="179"/>
      <c r="AO633" s="179"/>
    </row>
    <row r="634" spans="3:41" hidden="1" x14ac:dyDescent="0.2">
      <c r="C634" s="179" t="str">
        <f t="shared" si="262"/>
        <v>Special rate</v>
      </c>
      <c r="D634" s="179" t="str">
        <f t="shared" si="262"/>
        <v/>
      </c>
      <c r="E634" s="179"/>
      <c r="F634" s="179">
        <f>F277*'WK3 - Notional GI Yr1 YIELD'!$D126</f>
        <v>0</v>
      </c>
      <c r="G634" s="179">
        <f>G277*'WK3 - Notional GI Yr1 YIELD'!$D126</f>
        <v>0</v>
      </c>
      <c r="H634" s="179">
        <f>H277*'WK3 - Notional GI Yr1 YIELD'!$D126</f>
        <v>0</v>
      </c>
      <c r="I634" s="179">
        <f>I277*'WK3 - Notional GI Yr1 YIELD'!$D126</f>
        <v>0</v>
      </c>
      <c r="J634" s="179">
        <f>J277*'WK3 - Notional GI Yr1 YIELD'!$D126</f>
        <v>0</v>
      </c>
      <c r="K634" s="179">
        <f>K277*'WK3 - Notional GI Yr1 YIELD'!$D126</f>
        <v>0</v>
      </c>
      <c r="L634" s="179">
        <f>L277*'WK3 - Notional GI Yr1 YIELD'!$D126</f>
        <v>0</v>
      </c>
      <c r="M634" s="179"/>
      <c r="N634" s="179"/>
      <c r="O634" s="179"/>
      <c r="P634" s="179"/>
      <c r="Q634" s="179"/>
      <c r="R634" s="179"/>
      <c r="S634" s="179"/>
      <c r="T634" s="179"/>
      <c r="U634" s="179"/>
      <c r="V634" s="179"/>
      <c r="W634" s="179"/>
      <c r="X634" s="179"/>
      <c r="Y634" s="179"/>
      <c r="Z634" s="179"/>
      <c r="AA634" s="179"/>
      <c r="AB634" s="179"/>
      <c r="AC634" s="179"/>
      <c r="AD634" s="179"/>
      <c r="AE634" s="179"/>
      <c r="AF634" s="179"/>
      <c r="AG634" s="179"/>
      <c r="AH634" s="179"/>
      <c r="AI634" s="179"/>
      <c r="AJ634" s="179"/>
      <c r="AK634" s="179"/>
      <c r="AL634" s="179"/>
      <c r="AM634" s="179"/>
      <c r="AN634" s="179"/>
      <c r="AO634" s="179"/>
    </row>
    <row r="635" spans="3:41" hidden="1" x14ac:dyDescent="0.2">
      <c r="C635" s="179" t="str">
        <f t="shared" si="262"/>
        <v>Special rate</v>
      </c>
      <c r="D635" s="179" t="str">
        <f t="shared" si="262"/>
        <v/>
      </c>
      <c r="E635" s="179"/>
      <c r="F635" s="179">
        <f>F278*'WK3 - Notional GI Yr1 YIELD'!$D127</f>
        <v>0</v>
      </c>
      <c r="G635" s="179">
        <f>G278*'WK3 - Notional GI Yr1 YIELD'!$D127</f>
        <v>0</v>
      </c>
      <c r="H635" s="179">
        <f>H278*'WK3 - Notional GI Yr1 YIELD'!$D127</f>
        <v>0</v>
      </c>
      <c r="I635" s="179">
        <f>I278*'WK3 - Notional GI Yr1 YIELD'!$D127</f>
        <v>0</v>
      </c>
      <c r="J635" s="179">
        <f>J278*'WK3 - Notional GI Yr1 YIELD'!$D127</f>
        <v>0</v>
      </c>
      <c r="K635" s="179">
        <f>K278*'WK3 - Notional GI Yr1 YIELD'!$D127</f>
        <v>0</v>
      </c>
      <c r="L635" s="179">
        <f>L278*'WK3 - Notional GI Yr1 YIELD'!$D127</f>
        <v>0</v>
      </c>
      <c r="M635" s="179"/>
      <c r="N635" s="179"/>
      <c r="O635" s="179"/>
      <c r="P635" s="179"/>
      <c r="Q635" s="179"/>
      <c r="R635" s="179"/>
      <c r="S635" s="179"/>
      <c r="T635" s="179"/>
      <c r="U635" s="179"/>
      <c r="V635" s="179"/>
      <c r="W635" s="179"/>
      <c r="X635" s="179"/>
      <c r="Y635" s="179"/>
      <c r="Z635" s="179"/>
      <c r="AA635" s="179"/>
      <c r="AB635" s="179"/>
      <c r="AC635" s="179"/>
      <c r="AD635" s="179"/>
      <c r="AE635" s="179"/>
      <c r="AF635" s="179"/>
      <c r="AG635" s="179"/>
      <c r="AH635" s="179"/>
      <c r="AI635" s="179"/>
      <c r="AJ635" s="179"/>
      <c r="AK635" s="179"/>
      <c r="AL635" s="179"/>
      <c r="AM635" s="179"/>
      <c r="AN635" s="179"/>
      <c r="AO635" s="179"/>
    </row>
    <row r="636" spans="3:41" hidden="1" x14ac:dyDescent="0.2">
      <c r="C636" s="179" t="str">
        <f t="shared" si="262"/>
        <v>Special rate</v>
      </c>
      <c r="D636" s="179" t="str">
        <f t="shared" si="262"/>
        <v/>
      </c>
      <c r="E636" s="179"/>
      <c r="F636" s="179">
        <f>F279*'WK3 - Notional GI Yr1 YIELD'!$D128</f>
        <v>0</v>
      </c>
      <c r="G636" s="179">
        <f>G279*'WK3 - Notional GI Yr1 YIELD'!$D128</f>
        <v>0</v>
      </c>
      <c r="H636" s="179">
        <f>H279*'WK3 - Notional GI Yr1 YIELD'!$D128</f>
        <v>0</v>
      </c>
      <c r="I636" s="179">
        <f>I279*'WK3 - Notional GI Yr1 YIELD'!$D128</f>
        <v>0</v>
      </c>
      <c r="J636" s="179">
        <f>J279*'WK3 - Notional GI Yr1 YIELD'!$D128</f>
        <v>0</v>
      </c>
      <c r="K636" s="179">
        <f>K279*'WK3 - Notional GI Yr1 YIELD'!$D128</f>
        <v>0</v>
      </c>
      <c r="L636" s="179">
        <f>L279*'WK3 - Notional GI Yr1 YIELD'!$D128</f>
        <v>0</v>
      </c>
      <c r="M636" s="179"/>
      <c r="N636" s="179"/>
      <c r="O636" s="179"/>
      <c r="P636" s="179"/>
      <c r="Q636" s="179"/>
      <c r="R636" s="179"/>
      <c r="S636" s="179"/>
      <c r="T636" s="179"/>
      <c r="U636" s="179"/>
      <c r="V636" s="179"/>
      <c r="W636" s="179"/>
      <c r="X636" s="179"/>
      <c r="Y636" s="179"/>
      <c r="Z636" s="179"/>
      <c r="AA636" s="179"/>
      <c r="AB636" s="179"/>
      <c r="AC636" s="179"/>
      <c r="AD636" s="179"/>
      <c r="AE636" s="179"/>
      <c r="AF636" s="179"/>
      <c r="AG636" s="179"/>
      <c r="AH636" s="179"/>
      <c r="AI636" s="179"/>
      <c r="AJ636" s="179"/>
      <c r="AK636" s="179"/>
      <c r="AL636" s="179"/>
      <c r="AM636" s="179"/>
      <c r="AN636" s="179"/>
      <c r="AO636" s="179"/>
    </row>
    <row r="637" spans="3:41" hidden="1" x14ac:dyDescent="0.2">
      <c r="C637" s="179" t="str">
        <f t="shared" si="262"/>
        <v>Special rate</v>
      </c>
      <c r="D637" s="179" t="str">
        <f t="shared" si="262"/>
        <v/>
      </c>
      <c r="E637" s="179"/>
      <c r="F637" s="179">
        <f>F280*'WK3 - Notional GI Yr1 YIELD'!$D129</f>
        <v>0</v>
      </c>
      <c r="G637" s="179">
        <f>G280*'WK3 - Notional GI Yr1 YIELD'!$D129</f>
        <v>0</v>
      </c>
      <c r="H637" s="179">
        <f>H280*'WK3 - Notional GI Yr1 YIELD'!$D129</f>
        <v>0</v>
      </c>
      <c r="I637" s="179">
        <f>I280*'WK3 - Notional GI Yr1 YIELD'!$D129</f>
        <v>0</v>
      </c>
      <c r="J637" s="179">
        <f>J280*'WK3 - Notional GI Yr1 YIELD'!$D129</f>
        <v>0</v>
      </c>
      <c r="K637" s="179">
        <f>K280*'WK3 - Notional GI Yr1 YIELD'!$D129</f>
        <v>0</v>
      </c>
      <c r="L637" s="179">
        <f>L280*'WK3 - Notional GI Yr1 YIELD'!$D129</f>
        <v>0</v>
      </c>
      <c r="M637" s="179"/>
      <c r="N637" s="179"/>
      <c r="O637" s="179"/>
      <c r="P637" s="179"/>
      <c r="Q637" s="179"/>
      <c r="R637" s="179"/>
      <c r="S637" s="179"/>
      <c r="T637" s="179"/>
      <c r="U637" s="179"/>
      <c r="V637" s="179"/>
      <c r="W637" s="179"/>
      <c r="X637" s="179"/>
      <c r="Y637" s="179"/>
      <c r="Z637" s="179"/>
      <c r="AA637" s="179"/>
      <c r="AB637" s="179"/>
      <c r="AC637" s="179"/>
      <c r="AD637" s="179"/>
      <c r="AE637" s="179"/>
      <c r="AF637" s="179"/>
      <c r="AG637" s="179"/>
      <c r="AH637" s="179"/>
      <c r="AI637" s="179"/>
      <c r="AJ637" s="179"/>
      <c r="AK637" s="179"/>
      <c r="AL637" s="179"/>
      <c r="AM637" s="179"/>
      <c r="AN637" s="179"/>
      <c r="AO637" s="179"/>
    </row>
    <row r="638" spans="3:41" hidden="1" x14ac:dyDescent="0.2">
      <c r="C638" s="179" t="str">
        <f t="shared" si="262"/>
        <v>Special rate</v>
      </c>
      <c r="D638" s="179" t="str">
        <f t="shared" si="262"/>
        <v/>
      </c>
      <c r="E638" s="179"/>
      <c r="F638" s="179">
        <f>F281*'WK3 - Notional GI Yr1 YIELD'!$D130</f>
        <v>0</v>
      </c>
      <c r="G638" s="179">
        <f>G281*'WK3 - Notional GI Yr1 YIELD'!$D130</f>
        <v>0</v>
      </c>
      <c r="H638" s="179">
        <f>H281*'WK3 - Notional GI Yr1 YIELD'!$D130</f>
        <v>0</v>
      </c>
      <c r="I638" s="179">
        <f>I281*'WK3 - Notional GI Yr1 YIELD'!$D130</f>
        <v>0</v>
      </c>
      <c r="J638" s="179">
        <f>J281*'WK3 - Notional GI Yr1 YIELD'!$D130</f>
        <v>0</v>
      </c>
      <c r="K638" s="179">
        <f>K281*'WK3 - Notional GI Yr1 YIELD'!$D130</f>
        <v>0</v>
      </c>
      <c r="L638" s="179">
        <f>L281*'WK3 - Notional GI Yr1 YIELD'!$D130</f>
        <v>0</v>
      </c>
      <c r="M638" s="179"/>
      <c r="N638" s="179"/>
      <c r="O638" s="179"/>
      <c r="P638" s="179"/>
      <c r="Q638" s="179"/>
      <c r="R638" s="179"/>
      <c r="S638" s="179"/>
      <c r="T638" s="179"/>
      <c r="U638" s="179"/>
      <c r="V638" s="179"/>
      <c r="W638" s="179"/>
      <c r="X638" s="179"/>
      <c r="Y638" s="179"/>
      <c r="Z638" s="179"/>
      <c r="AA638" s="179"/>
      <c r="AB638" s="179"/>
      <c r="AC638" s="179"/>
      <c r="AD638" s="179"/>
      <c r="AE638" s="179"/>
      <c r="AF638" s="179"/>
      <c r="AG638" s="179"/>
      <c r="AH638" s="179"/>
      <c r="AI638" s="179"/>
      <c r="AJ638" s="179"/>
      <c r="AK638" s="179"/>
      <c r="AL638" s="179"/>
      <c r="AM638" s="179"/>
      <c r="AN638" s="179"/>
      <c r="AO638" s="179"/>
    </row>
    <row r="639" spans="3:41" hidden="1" x14ac:dyDescent="0.2">
      <c r="C639" s="179" t="str">
        <f t="shared" si="262"/>
        <v>Special rate</v>
      </c>
      <c r="D639" s="179" t="str">
        <f t="shared" si="262"/>
        <v/>
      </c>
      <c r="E639" s="179"/>
      <c r="F639" s="179">
        <f>F282*'WK3 - Notional GI Yr1 YIELD'!$D131</f>
        <v>0</v>
      </c>
      <c r="G639" s="179">
        <f>G282*'WK3 - Notional GI Yr1 YIELD'!$D131</f>
        <v>0</v>
      </c>
      <c r="H639" s="179">
        <f>H282*'WK3 - Notional GI Yr1 YIELD'!$D131</f>
        <v>0</v>
      </c>
      <c r="I639" s="179">
        <f>I282*'WK3 - Notional GI Yr1 YIELD'!$D131</f>
        <v>0</v>
      </c>
      <c r="J639" s="179">
        <f>J282*'WK3 - Notional GI Yr1 YIELD'!$D131</f>
        <v>0</v>
      </c>
      <c r="K639" s="179">
        <f>K282*'WK3 - Notional GI Yr1 YIELD'!$D131</f>
        <v>0</v>
      </c>
      <c r="L639" s="179">
        <f>L282*'WK3 - Notional GI Yr1 YIELD'!$D131</f>
        <v>0</v>
      </c>
      <c r="M639" s="179"/>
      <c r="N639" s="179"/>
      <c r="O639" s="179"/>
      <c r="P639" s="179"/>
      <c r="Q639" s="179"/>
      <c r="R639" s="179"/>
      <c r="S639" s="179"/>
      <c r="T639" s="179"/>
      <c r="U639" s="179"/>
      <c r="V639" s="179"/>
      <c r="W639" s="179"/>
      <c r="X639" s="179"/>
      <c r="Y639" s="179"/>
      <c r="Z639" s="179"/>
      <c r="AA639" s="179"/>
      <c r="AB639" s="179"/>
      <c r="AC639" s="179"/>
      <c r="AD639" s="179"/>
      <c r="AE639" s="179"/>
      <c r="AF639" s="179"/>
      <c r="AG639" s="179"/>
      <c r="AH639" s="179"/>
      <c r="AI639" s="179"/>
      <c r="AJ639" s="179"/>
      <c r="AK639" s="179"/>
      <c r="AL639" s="179"/>
      <c r="AM639" s="179"/>
      <c r="AN639" s="179"/>
      <c r="AO639" s="179"/>
    </row>
    <row r="640" spans="3:41" s="162" customFormat="1" ht="12" hidden="1" x14ac:dyDescent="0.25">
      <c r="C640" s="656"/>
      <c r="D640" s="656" t="str">
        <f>D516</f>
        <v>TOTAL INCOME FROM FARMLAND</v>
      </c>
      <c r="E640" s="656"/>
      <c r="F640" s="656">
        <f>SUM(F620:F639)</f>
        <v>4562283.9597587995</v>
      </c>
      <c r="G640" s="656">
        <f t="shared" ref="G640:L640" si="263">SUM(G620:G639)</f>
        <v>4676341.0587527696</v>
      </c>
      <c r="H640" s="656">
        <f t="shared" si="263"/>
        <v>4793249.5852215877</v>
      </c>
      <c r="I640" s="656">
        <f t="shared" si="263"/>
        <v>4913080.8248521276</v>
      </c>
      <c r="J640" s="656">
        <f t="shared" si="263"/>
        <v>5035907.8454734301</v>
      </c>
      <c r="K640" s="656">
        <f t="shared" si="263"/>
        <v>0</v>
      </c>
      <c r="L640" s="656">
        <f t="shared" si="263"/>
        <v>0</v>
      </c>
      <c r="M640" s="656"/>
      <c r="N640" s="656"/>
      <c r="O640" s="656"/>
      <c r="P640" s="656"/>
      <c r="Q640" s="656"/>
      <c r="R640" s="656"/>
      <c r="S640" s="656"/>
      <c r="T640" s="656"/>
      <c r="U640" s="656"/>
      <c r="V640" s="656"/>
      <c r="W640" s="656"/>
      <c r="X640" s="656"/>
      <c r="Y640" s="656"/>
      <c r="Z640" s="656"/>
      <c r="AA640" s="656"/>
      <c r="AB640" s="656"/>
      <c r="AC640" s="656"/>
      <c r="AD640" s="656"/>
      <c r="AE640" s="656"/>
      <c r="AF640" s="656"/>
      <c r="AG640" s="656"/>
      <c r="AH640" s="656"/>
      <c r="AI640" s="656"/>
      <c r="AJ640" s="656"/>
      <c r="AK640" s="656"/>
      <c r="AL640" s="656"/>
      <c r="AM640" s="656"/>
      <c r="AN640" s="656"/>
      <c r="AO640" s="656"/>
    </row>
    <row r="641" spans="3:41" hidden="1" x14ac:dyDescent="0.2">
      <c r="C641" s="179" t="str">
        <f>C284</f>
        <v>Mining</v>
      </c>
      <c r="D641" s="179" t="str">
        <f>D284</f>
        <v/>
      </c>
      <c r="E641" s="179"/>
      <c r="F641" s="179">
        <f>F284*'WK3 - Notional GI Yr1 YIELD'!$D72</f>
        <v>0</v>
      </c>
      <c r="G641" s="179">
        <f>G284*'WK3 - Notional GI Yr1 YIELD'!$D72</f>
        <v>0</v>
      </c>
      <c r="H641" s="179">
        <f>H284*'WK3 - Notional GI Yr1 YIELD'!$D72</f>
        <v>0</v>
      </c>
      <c r="I641" s="179">
        <f>I284*'WK3 - Notional GI Yr1 YIELD'!$D72</f>
        <v>0</v>
      </c>
      <c r="J641" s="179">
        <f>J284*'WK3 - Notional GI Yr1 YIELD'!$D72</f>
        <v>0</v>
      </c>
      <c r="K641" s="179">
        <f>K284*'WK3 - Notional GI Yr1 YIELD'!$D72</f>
        <v>0</v>
      </c>
      <c r="L641" s="179">
        <f>L284*'WK3 - Notional GI Yr1 YIELD'!$D72</f>
        <v>0</v>
      </c>
      <c r="M641" s="179"/>
      <c r="N641" s="179"/>
      <c r="O641" s="179"/>
      <c r="P641" s="179"/>
      <c r="Q641" s="179"/>
      <c r="R641" s="179"/>
      <c r="S641" s="179"/>
      <c r="T641" s="179"/>
      <c r="U641" s="179"/>
      <c r="V641" s="179"/>
      <c r="W641" s="179"/>
      <c r="X641" s="179"/>
      <c r="Y641" s="179"/>
      <c r="Z641" s="179"/>
      <c r="AA641" s="179"/>
      <c r="AB641" s="179"/>
      <c r="AC641" s="179"/>
      <c r="AD641" s="179"/>
      <c r="AE641" s="179"/>
      <c r="AF641" s="179"/>
      <c r="AG641" s="179"/>
      <c r="AH641" s="179"/>
      <c r="AI641" s="179"/>
      <c r="AJ641" s="179"/>
      <c r="AK641" s="179"/>
      <c r="AL641" s="179"/>
      <c r="AM641" s="179"/>
      <c r="AN641" s="179"/>
      <c r="AO641" s="179"/>
    </row>
    <row r="642" spans="3:41" hidden="1" x14ac:dyDescent="0.2">
      <c r="C642" s="179" t="str">
        <f t="shared" ref="C642:D650" si="264">C285</f>
        <v>Mining</v>
      </c>
      <c r="D642" s="179" t="str">
        <f t="shared" si="264"/>
        <v/>
      </c>
      <c r="E642" s="179"/>
      <c r="F642" s="179">
        <f>F285*'WK3 - Notional GI Yr1 YIELD'!$D73</f>
        <v>0</v>
      </c>
      <c r="G642" s="179">
        <f>G285*'WK3 - Notional GI Yr1 YIELD'!$D73</f>
        <v>0</v>
      </c>
      <c r="H642" s="179">
        <f>H285*'WK3 - Notional GI Yr1 YIELD'!$D73</f>
        <v>0</v>
      </c>
      <c r="I642" s="179">
        <f>I285*'WK3 - Notional GI Yr1 YIELD'!$D73</f>
        <v>0</v>
      </c>
      <c r="J642" s="179">
        <f>J285*'WK3 - Notional GI Yr1 YIELD'!$D73</f>
        <v>0</v>
      </c>
      <c r="K642" s="179">
        <f>K285*'WK3 - Notional GI Yr1 YIELD'!$D73</f>
        <v>0</v>
      </c>
      <c r="L642" s="179">
        <f>L285*'WK3 - Notional GI Yr1 YIELD'!$D73</f>
        <v>0</v>
      </c>
      <c r="M642" s="179"/>
      <c r="N642" s="179"/>
      <c r="O642" s="179"/>
      <c r="P642" s="179"/>
      <c r="Q642" s="179"/>
      <c r="R642" s="179"/>
      <c r="S642" s="179"/>
      <c r="T642" s="179"/>
      <c r="U642" s="179"/>
      <c r="V642" s="179"/>
      <c r="W642" s="179"/>
      <c r="X642" s="179"/>
      <c r="Y642" s="179"/>
      <c r="Z642" s="179"/>
      <c r="AA642" s="179"/>
      <c r="AB642" s="179"/>
      <c r="AC642" s="179"/>
      <c r="AD642" s="179"/>
      <c r="AE642" s="179"/>
      <c r="AF642" s="179"/>
      <c r="AG642" s="179"/>
      <c r="AH642" s="179"/>
      <c r="AI642" s="179"/>
      <c r="AJ642" s="179"/>
      <c r="AK642" s="179"/>
      <c r="AL642" s="179"/>
      <c r="AM642" s="179"/>
      <c r="AN642" s="179"/>
      <c r="AO642" s="179"/>
    </row>
    <row r="643" spans="3:41" hidden="1" x14ac:dyDescent="0.2">
      <c r="C643" s="179" t="str">
        <f t="shared" si="264"/>
        <v>Mining</v>
      </c>
      <c r="D643" s="179" t="str">
        <f t="shared" si="264"/>
        <v/>
      </c>
      <c r="E643" s="179"/>
      <c r="F643" s="179">
        <f>F286*'WK3 - Notional GI Yr1 YIELD'!$D74</f>
        <v>0</v>
      </c>
      <c r="G643" s="179">
        <f>G286*'WK3 - Notional GI Yr1 YIELD'!$D74</f>
        <v>0</v>
      </c>
      <c r="H643" s="179">
        <f>H286*'WK3 - Notional GI Yr1 YIELD'!$D74</f>
        <v>0</v>
      </c>
      <c r="I643" s="179">
        <f>I286*'WK3 - Notional GI Yr1 YIELD'!$D74</f>
        <v>0</v>
      </c>
      <c r="J643" s="179">
        <f>J286*'WK3 - Notional GI Yr1 YIELD'!$D74</f>
        <v>0</v>
      </c>
      <c r="K643" s="179">
        <f>K286*'WK3 - Notional GI Yr1 YIELD'!$D74</f>
        <v>0</v>
      </c>
      <c r="L643" s="179">
        <f>L286*'WK3 - Notional GI Yr1 YIELD'!$D74</f>
        <v>0</v>
      </c>
      <c r="M643" s="179"/>
      <c r="N643" s="179"/>
      <c r="O643" s="179"/>
      <c r="P643" s="179"/>
      <c r="Q643" s="179"/>
      <c r="R643" s="179"/>
      <c r="S643" s="179"/>
      <c r="T643" s="179"/>
      <c r="U643" s="179"/>
      <c r="V643" s="179"/>
      <c r="W643" s="179"/>
      <c r="X643" s="179"/>
      <c r="Y643" s="179"/>
      <c r="Z643" s="179"/>
      <c r="AA643" s="179"/>
      <c r="AB643" s="179"/>
      <c r="AC643" s="179"/>
      <c r="AD643" s="179"/>
      <c r="AE643" s="179"/>
      <c r="AF643" s="179"/>
      <c r="AG643" s="179"/>
      <c r="AH643" s="179"/>
      <c r="AI643" s="179"/>
      <c r="AJ643" s="179"/>
      <c r="AK643" s="179"/>
      <c r="AL643" s="179"/>
      <c r="AM643" s="179"/>
      <c r="AN643" s="179"/>
      <c r="AO643" s="179"/>
    </row>
    <row r="644" spans="3:41" hidden="1" x14ac:dyDescent="0.2">
      <c r="C644" s="179" t="str">
        <f t="shared" si="264"/>
        <v>Mining</v>
      </c>
      <c r="D644" s="179" t="str">
        <f t="shared" si="264"/>
        <v/>
      </c>
      <c r="E644" s="179"/>
      <c r="F644" s="179">
        <f>F287*'WK3 - Notional GI Yr1 YIELD'!$D75</f>
        <v>0</v>
      </c>
      <c r="G644" s="179">
        <f>G287*'WK3 - Notional GI Yr1 YIELD'!$D75</f>
        <v>0</v>
      </c>
      <c r="H644" s="179">
        <f>H287*'WK3 - Notional GI Yr1 YIELD'!$D75</f>
        <v>0</v>
      </c>
      <c r="I644" s="179">
        <f>I287*'WK3 - Notional GI Yr1 YIELD'!$D75</f>
        <v>0</v>
      </c>
      <c r="J644" s="179">
        <f>J287*'WK3 - Notional GI Yr1 YIELD'!$D75</f>
        <v>0</v>
      </c>
      <c r="K644" s="179">
        <f>K287*'WK3 - Notional GI Yr1 YIELD'!$D75</f>
        <v>0</v>
      </c>
      <c r="L644" s="179">
        <f>L287*'WK3 - Notional GI Yr1 YIELD'!$D75</f>
        <v>0</v>
      </c>
      <c r="M644" s="179"/>
      <c r="N644" s="179"/>
      <c r="O644" s="179"/>
      <c r="P644" s="179"/>
      <c r="Q644" s="179"/>
      <c r="R644" s="179"/>
      <c r="S644" s="179"/>
      <c r="T644" s="179"/>
      <c r="U644" s="179"/>
      <c r="V644" s="179"/>
      <c r="W644" s="179"/>
      <c r="X644" s="179"/>
      <c r="Y644" s="179"/>
      <c r="Z644" s="179"/>
      <c r="AA644" s="179"/>
      <c r="AB644" s="179"/>
      <c r="AC644" s="179"/>
      <c r="AD644" s="179"/>
      <c r="AE644" s="179"/>
      <c r="AF644" s="179"/>
      <c r="AG644" s="179"/>
      <c r="AH644" s="179"/>
      <c r="AI644" s="179"/>
      <c r="AJ644" s="179"/>
      <c r="AK644" s="179"/>
      <c r="AL644" s="179"/>
      <c r="AM644" s="179"/>
      <c r="AN644" s="179"/>
      <c r="AO644" s="179"/>
    </row>
    <row r="645" spans="3:41" hidden="1" x14ac:dyDescent="0.2">
      <c r="C645" s="179" t="str">
        <f t="shared" si="264"/>
        <v>Mining</v>
      </c>
      <c r="D645" s="179" t="str">
        <f t="shared" si="264"/>
        <v/>
      </c>
      <c r="E645" s="179"/>
      <c r="F645" s="179">
        <f>F288*'WK3 - Notional GI Yr1 YIELD'!$D76</f>
        <v>0</v>
      </c>
      <c r="G645" s="179">
        <f>G288*'WK3 - Notional GI Yr1 YIELD'!$D76</f>
        <v>0</v>
      </c>
      <c r="H645" s="179">
        <f>H288*'WK3 - Notional GI Yr1 YIELD'!$D76</f>
        <v>0</v>
      </c>
      <c r="I645" s="179">
        <f>I288*'WK3 - Notional GI Yr1 YIELD'!$D76</f>
        <v>0</v>
      </c>
      <c r="J645" s="179">
        <f>J288*'WK3 - Notional GI Yr1 YIELD'!$D76</f>
        <v>0</v>
      </c>
      <c r="K645" s="179">
        <f>K288*'WK3 - Notional GI Yr1 YIELD'!$D76</f>
        <v>0</v>
      </c>
      <c r="L645" s="179">
        <f>L288*'WK3 - Notional GI Yr1 YIELD'!$D76</f>
        <v>0</v>
      </c>
      <c r="M645" s="179"/>
      <c r="N645" s="179"/>
      <c r="O645" s="179"/>
      <c r="P645" s="179"/>
      <c r="Q645" s="179"/>
      <c r="R645" s="179"/>
      <c r="S645" s="179"/>
      <c r="T645" s="179"/>
      <c r="U645" s="179"/>
      <c r="V645" s="179"/>
      <c r="W645" s="179"/>
      <c r="X645" s="179"/>
      <c r="Y645" s="179"/>
      <c r="Z645" s="179"/>
      <c r="AA645" s="179"/>
      <c r="AB645" s="179"/>
      <c r="AC645" s="179"/>
      <c r="AD645" s="179"/>
      <c r="AE645" s="179"/>
      <c r="AF645" s="179"/>
      <c r="AG645" s="179"/>
      <c r="AH645" s="179"/>
      <c r="AI645" s="179"/>
      <c r="AJ645" s="179"/>
      <c r="AK645" s="179"/>
      <c r="AL645" s="179"/>
      <c r="AM645" s="179"/>
      <c r="AN645" s="179"/>
      <c r="AO645" s="179"/>
    </row>
    <row r="646" spans="3:41" hidden="1" x14ac:dyDescent="0.2">
      <c r="C646" s="179" t="str">
        <f t="shared" si="264"/>
        <v>Mining</v>
      </c>
      <c r="D646" s="179" t="str">
        <f t="shared" si="264"/>
        <v/>
      </c>
      <c r="E646" s="179"/>
      <c r="F646" s="179">
        <f>F289*'WK3 - Notional GI Yr1 YIELD'!$D77</f>
        <v>0</v>
      </c>
      <c r="G646" s="179">
        <f>G289*'WK3 - Notional GI Yr1 YIELD'!$D77</f>
        <v>0</v>
      </c>
      <c r="H646" s="179">
        <f>H289*'WK3 - Notional GI Yr1 YIELD'!$D77</f>
        <v>0</v>
      </c>
      <c r="I646" s="179">
        <f>I289*'WK3 - Notional GI Yr1 YIELD'!$D77</f>
        <v>0</v>
      </c>
      <c r="J646" s="179">
        <f>J289*'WK3 - Notional GI Yr1 YIELD'!$D77</f>
        <v>0</v>
      </c>
      <c r="K646" s="179">
        <f>K289*'WK3 - Notional GI Yr1 YIELD'!$D77</f>
        <v>0</v>
      </c>
      <c r="L646" s="179">
        <f>L289*'WK3 - Notional GI Yr1 YIELD'!$D77</f>
        <v>0</v>
      </c>
      <c r="M646" s="179"/>
      <c r="N646" s="179"/>
      <c r="O646" s="179"/>
      <c r="P646" s="179"/>
      <c r="Q646" s="179"/>
      <c r="R646" s="179"/>
      <c r="S646" s="179"/>
      <c r="T646" s="179"/>
      <c r="U646" s="179"/>
      <c r="V646" s="179"/>
      <c r="W646" s="179"/>
      <c r="X646" s="179"/>
      <c r="Y646" s="179"/>
      <c r="Z646" s="179"/>
      <c r="AA646" s="179"/>
      <c r="AB646" s="179"/>
      <c r="AC646" s="179"/>
      <c r="AD646" s="179"/>
      <c r="AE646" s="179"/>
      <c r="AF646" s="179"/>
      <c r="AG646" s="179"/>
      <c r="AH646" s="179"/>
      <c r="AI646" s="179"/>
      <c r="AJ646" s="179"/>
      <c r="AK646" s="179"/>
      <c r="AL646" s="179"/>
      <c r="AM646" s="179"/>
      <c r="AN646" s="179"/>
      <c r="AO646" s="179"/>
    </row>
    <row r="647" spans="3:41" hidden="1" x14ac:dyDescent="0.2">
      <c r="C647" s="179" t="str">
        <f t="shared" si="264"/>
        <v>Mining</v>
      </c>
      <c r="D647" s="179" t="str">
        <f t="shared" si="264"/>
        <v/>
      </c>
      <c r="E647" s="179"/>
      <c r="F647" s="179">
        <f>F290*'WK3 - Notional GI Yr1 YIELD'!$D78</f>
        <v>0</v>
      </c>
      <c r="G647" s="179">
        <f>G290*'WK3 - Notional GI Yr1 YIELD'!$D78</f>
        <v>0</v>
      </c>
      <c r="H647" s="179">
        <f>H290*'WK3 - Notional GI Yr1 YIELD'!$D78</f>
        <v>0</v>
      </c>
      <c r="I647" s="179">
        <f>I290*'WK3 - Notional GI Yr1 YIELD'!$D78</f>
        <v>0</v>
      </c>
      <c r="J647" s="179">
        <f>J290*'WK3 - Notional GI Yr1 YIELD'!$D78</f>
        <v>0</v>
      </c>
      <c r="K647" s="179">
        <f>K290*'WK3 - Notional GI Yr1 YIELD'!$D78</f>
        <v>0</v>
      </c>
      <c r="L647" s="179">
        <f>L290*'WK3 - Notional GI Yr1 YIELD'!$D78</f>
        <v>0</v>
      </c>
      <c r="M647" s="179"/>
      <c r="N647" s="179"/>
      <c r="O647" s="179"/>
      <c r="P647" s="179"/>
      <c r="Q647" s="179"/>
      <c r="R647" s="179"/>
      <c r="S647" s="179"/>
      <c r="T647" s="179"/>
      <c r="U647" s="179"/>
      <c r="V647" s="179"/>
      <c r="W647" s="179"/>
      <c r="X647" s="179"/>
      <c r="Y647" s="179"/>
      <c r="Z647" s="179"/>
      <c r="AA647" s="179"/>
      <c r="AB647" s="179"/>
      <c r="AC647" s="179"/>
      <c r="AD647" s="179"/>
      <c r="AE647" s="179"/>
      <c r="AF647" s="179"/>
      <c r="AG647" s="179"/>
      <c r="AH647" s="179"/>
      <c r="AI647" s="179"/>
      <c r="AJ647" s="179"/>
      <c r="AK647" s="179"/>
      <c r="AL647" s="179"/>
      <c r="AM647" s="179"/>
      <c r="AN647" s="179"/>
      <c r="AO647" s="179"/>
    </row>
    <row r="648" spans="3:41" hidden="1" x14ac:dyDescent="0.2">
      <c r="C648" s="179" t="str">
        <f t="shared" si="264"/>
        <v>Mining</v>
      </c>
      <c r="D648" s="179" t="str">
        <f t="shared" si="264"/>
        <v/>
      </c>
      <c r="E648" s="179"/>
      <c r="F648" s="179">
        <f>F291*'WK3 - Notional GI Yr1 YIELD'!$D79</f>
        <v>0</v>
      </c>
      <c r="G648" s="179">
        <f>G291*'WK3 - Notional GI Yr1 YIELD'!$D79</f>
        <v>0</v>
      </c>
      <c r="H648" s="179">
        <f>H291*'WK3 - Notional GI Yr1 YIELD'!$D79</f>
        <v>0</v>
      </c>
      <c r="I648" s="179">
        <f>I291*'WK3 - Notional GI Yr1 YIELD'!$D79</f>
        <v>0</v>
      </c>
      <c r="J648" s="179">
        <f>J291*'WK3 - Notional GI Yr1 YIELD'!$D79</f>
        <v>0</v>
      </c>
      <c r="K648" s="179">
        <f>K291*'WK3 - Notional GI Yr1 YIELD'!$D79</f>
        <v>0</v>
      </c>
      <c r="L648" s="179">
        <f>L291*'WK3 - Notional GI Yr1 YIELD'!$D79</f>
        <v>0</v>
      </c>
      <c r="M648" s="179"/>
      <c r="N648" s="179"/>
      <c r="O648" s="179"/>
      <c r="P648" s="179"/>
      <c r="Q648" s="179"/>
      <c r="R648" s="179"/>
      <c r="S648" s="179"/>
      <c r="T648" s="179"/>
      <c r="U648" s="179"/>
      <c r="V648" s="179"/>
      <c r="W648" s="179"/>
      <c r="X648" s="179"/>
      <c r="Y648" s="179"/>
      <c r="Z648" s="179"/>
      <c r="AA648" s="179"/>
      <c r="AB648" s="179"/>
      <c r="AC648" s="179"/>
      <c r="AD648" s="179"/>
      <c r="AE648" s="179"/>
      <c r="AF648" s="179"/>
      <c r="AG648" s="179"/>
      <c r="AH648" s="179"/>
      <c r="AI648" s="179"/>
      <c r="AJ648" s="179"/>
      <c r="AK648" s="179"/>
      <c r="AL648" s="179"/>
      <c r="AM648" s="179"/>
      <c r="AN648" s="179"/>
      <c r="AO648" s="179"/>
    </row>
    <row r="649" spans="3:41" hidden="1" x14ac:dyDescent="0.2">
      <c r="C649" s="179" t="str">
        <f t="shared" si="264"/>
        <v>Mining</v>
      </c>
      <c r="D649" s="179" t="str">
        <f t="shared" si="264"/>
        <v/>
      </c>
      <c r="E649" s="179"/>
      <c r="F649" s="179">
        <f>F292*'WK3 - Notional GI Yr1 YIELD'!$D80</f>
        <v>0</v>
      </c>
      <c r="G649" s="179">
        <f>G292*'WK3 - Notional GI Yr1 YIELD'!$D80</f>
        <v>0</v>
      </c>
      <c r="H649" s="179">
        <f>H292*'WK3 - Notional GI Yr1 YIELD'!$D80</f>
        <v>0</v>
      </c>
      <c r="I649" s="179">
        <f>I292*'WK3 - Notional GI Yr1 YIELD'!$D80</f>
        <v>0</v>
      </c>
      <c r="J649" s="179">
        <f>J292*'WK3 - Notional GI Yr1 YIELD'!$D80</f>
        <v>0</v>
      </c>
      <c r="K649" s="179">
        <f>K292*'WK3 - Notional GI Yr1 YIELD'!$D80</f>
        <v>0</v>
      </c>
      <c r="L649" s="179">
        <f>L292*'WK3 - Notional GI Yr1 YIELD'!$D80</f>
        <v>0</v>
      </c>
      <c r="M649" s="179"/>
      <c r="N649" s="179"/>
      <c r="O649" s="179"/>
      <c r="P649" s="179"/>
      <c r="Q649" s="179"/>
      <c r="R649" s="179"/>
      <c r="S649" s="179"/>
      <c r="T649" s="179"/>
      <c r="U649" s="179"/>
      <c r="V649" s="179"/>
      <c r="W649" s="179"/>
      <c r="X649" s="179"/>
      <c r="Y649" s="179"/>
      <c r="Z649" s="179"/>
      <c r="AA649" s="179"/>
      <c r="AB649" s="179"/>
      <c r="AC649" s="179"/>
      <c r="AD649" s="179"/>
      <c r="AE649" s="179"/>
      <c r="AF649" s="179"/>
      <c r="AG649" s="179"/>
      <c r="AH649" s="179"/>
      <c r="AI649" s="179"/>
      <c r="AJ649" s="179"/>
      <c r="AK649" s="179"/>
      <c r="AL649" s="179"/>
      <c r="AM649" s="179"/>
      <c r="AN649" s="179"/>
      <c r="AO649" s="179"/>
    </row>
    <row r="650" spans="3:41" hidden="1" x14ac:dyDescent="0.2">
      <c r="C650" s="179" t="str">
        <f t="shared" si="264"/>
        <v>Mining</v>
      </c>
      <c r="D650" s="179" t="str">
        <f t="shared" si="264"/>
        <v/>
      </c>
      <c r="E650" s="179"/>
      <c r="F650" s="179">
        <f>F293*'WK3 - Notional GI Yr1 YIELD'!$D81</f>
        <v>0</v>
      </c>
      <c r="G650" s="179">
        <f>G293*'WK3 - Notional GI Yr1 YIELD'!$D81</f>
        <v>0</v>
      </c>
      <c r="H650" s="179">
        <f>H293*'WK3 - Notional GI Yr1 YIELD'!$D81</f>
        <v>0</v>
      </c>
      <c r="I650" s="179">
        <f>I293*'WK3 - Notional GI Yr1 YIELD'!$D81</f>
        <v>0</v>
      </c>
      <c r="J650" s="179">
        <f>J293*'WK3 - Notional GI Yr1 YIELD'!$D81</f>
        <v>0</v>
      </c>
      <c r="K650" s="179">
        <f>K293*'WK3 - Notional GI Yr1 YIELD'!$D81</f>
        <v>0</v>
      </c>
      <c r="L650" s="179">
        <f>L293*'WK3 - Notional GI Yr1 YIELD'!$D81</f>
        <v>0</v>
      </c>
      <c r="M650" s="179"/>
      <c r="N650" s="179"/>
      <c r="O650" s="179"/>
      <c r="P650" s="179"/>
      <c r="Q650" s="179"/>
      <c r="R650" s="179"/>
      <c r="S650" s="179"/>
      <c r="T650" s="179"/>
      <c r="U650" s="179"/>
      <c r="V650" s="179"/>
      <c r="W650" s="179"/>
      <c r="X650" s="179"/>
      <c r="Y650" s="179"/>
      <c r="Z650" s="179"/>
      <c r="AA650" s="179"/>
      <c r="AB650" s="179"/>
      <c r="AC650" s="179"/>
      <c r="AD650" s="179"/>
      <c r="AE650" s="179"/>
      <c r="AF650" s="179"/>
      <c r="AG650" s="179"/>
      <c r="AH650" s="179"/>
      <c r="AI650" s="179"/>
      <c r="AJ650" s="179"/>
      <c r="AK650" s="179"/>
      <c r="AL650" s="179"/>
      <c r="AM650" s="179"/>
      <c r="AN650" s="179"/>
      <c r="AO650" s="179"/>
    </row>
    <row r="651" spans="3:41" hidden="1" x14ac:dyDescent="0.2">
      <c r="C651" s="179" t="str">
        <f>C294</f>
        <v>Special rate</v>
      </c>
      <c r="D651" s="179" t="str">
        <f>D294</f>
        <v/>
      </c>
      <c r="E651" s="179"/>
      <c r="F651" s="179">
        <f>F294*'WK3 - Notional GI Yr1 YIELD'!$D132</f>
        <v>0</v>
      </c>
      <c r="G651" s="179">
        <f>G294*'WK3 - Notional GI Yr1 YIELD'!$D132</f>
        <v>0</v>
      </c>
      <c r="H651" s="179">
        <f>H294*'WK3 - Notional GI Yr1 YIELD'!$D132</f>
        <v>0</v>
      </c>
      <c r="I651" s="179">
        <f>I294*'WK3 - Notional GI Yr1 YIELD'!$D132</f>
        <v>0</v>
      </c>
      <c r="J651" s="179">
        <f>J294*'WK3 - Notional GI Yr1 YIELD'!$D132</f>
        <v>0</v>
      </c>
      <c r="K651" s="179">
        <f>K294*'WK3 - Notional GI Yr1 YIELD'!$D132</f>
        <v>0</v>
      </c>
      <c r="L651" s="179">
        <f>L294*'WK3 - Notional GI Yr1 YIELD'!$D132</f>
        <v>0</v>
      </c>
      <c r="M651" s="179"/>
      <c r="N651" s="179"/>
      <c r="O651" s="179"/>
      <c r="P651" s="179"/>
      <c r="Q651" s="179"/>
      <c r="R651" s="179"/>
      <c r="S651" s="179"/>
      <c r="T651" s="179"/>
      <c r="U651" s="179"/>
      <c r="V651" s="179"/>
      <c r="W651" s="179"/>
      <c r="X651" s="179"/>
      <c r="Y651" s="179"/>
      <c r="Z651" s="179"/>
      <c r="AA651" s="179"/>
      <c r="AB651" s="179"/>
      <c r="AC651" s="179"/>
      <c r="AD651" s="179"/>
      <c r="AE651" s="179"/>
      <c r="AF651" s="179"/>
      <c r="AG651" s="179"/>
      <c r="AH651" s="179"/>
      <c r="AI651" s="179"/>
      <c r="AJ651" s="179"/>
      <c r="AK651" s="179"/>
      <c r="AL651" s="179"/>
      <c r="AM651" s="179"/>
      <c r="AN651" s="179"/>
      <c r="AO651" s="179"/>
    </row>
    <row r="652" spans="3:41" hidden="1" x14ac:dyDescent="0.2">
      <c r="C652" s="179" t="str">
        <f t="shared" ref="C652:D660" si="265">C295</f>
        <v>Special rate</v>
      </c>
      <c r="D652" s="179" t="str">
        <f t="shared" si="265"/>
        <v/>
      </c>
      <c r="E652" s="179"/>
      <c r="F652" s="179">
        <f>F295*'WK3 - Notional GI Yr1 YIELD'!$D133</f>
        <v>0</v>
      </c>
      <c r="G652" s="179">
        <f>G295*'WK3 - Notional GI Yr1 YIELD'!$D133</f>
        <v>0</v>
      </c>
      <c r="H652" s="179">
        <f>H295*'WK3 - Notional GI Yr1 YIELD'!$D133</f>
        <v>0</v>
      </c>
      <c r="I652" s="179">
        <f>I295*'WK3 - Notional GI Yr1 YIELD'!$D133</f>
        <v>0</v>
      </c>
      <c r="J652" s="179">
        <f>J295*'WK3 - Notional GI Yr1 YIELD'!$D133</f>
        <v>0</v>
      </c>
      <c r="K652" s="179">
        <f>K295*'WK3 - Notional GI Yr1 YIELD'!$D133</f>
        <v>0</v>
      </c>
      <c r="L652" s="179">
        <f>L295*'WK3 - Notional GI Yr1 YIELD'!$D133</f>
        <v>0</v>
      </c>
      <c r="M652" s="179"/>
      <c r="N652" s="179"/>
      <c r="O652" s="179"/>
      <c r="P652" s="179"/>
      <c r="Q652" s="179"/>
      <c r="R652" s="179"/>
      <c r="S652" s="179"/>
      <c r="T652" s="179"/>
      <c r="U652" s="179"/>
      <c r="V652" s="179"/>
      <c r="W652" s="179"/>
      <c r="X652" s="179"/>
      <c r="Y652" s="179"/>
      <c r="Z652" s="179"/>
      <c r="AA652" s="179"/>
      <c r="AB652" s="179"/>
      <c r="AC652" s="179"/>
      <c r="AD652" s="179"/>
      <c r="AE652" s="179"/>
      <c r="AF652" s="179"/>
      <c r="AG652" s="179"/>
      <c r="AH652" s="179"/>
      <c r="AI652" s="179"/>
      <c r="AJ652" s="179"/>
      <c r="AK652" s="179"/>
      <c r="AL652" s="179"/>
      <c r="AM652" s="179"/>
      <c r="AN652" s="179"/>
      <c r="AO652" s="179"/>
    </row>
    <row r="653" spans="3:41" hidden="1" x14ac:dyDescent="0.2">
      <c r="C653" s="179" t="str">
        <f t="shared" si="265"/>
        <v>Special rate</v>
      </c>
      <c r="D653" s="179" t="str">
        <f t="shared" si="265"/>
        <v/>
      </c>
      <c r="E653" s="179"/>
      <c r="F653" s="179">
        <f>F296*'WK3 - Notional GI Yr1 YIELD'!$D134</f>
        <v>0</v>
      </c>
      <c r="G653" s="179">
        <f>G296*'WK3 - Notional GI Yr1 YIELD'!$D134</f>
        <v>0</v>
      </c>
      <c r="H653" s="179">
        <f>H296*'WK3 - Notional GI Yr1 YIELD'!$D134</f>
        <v>0</v>
      </c>
      <c r="I653" s="179">
        <f>I296*'WK3 - Notional GI Yr1 YIELD'!$D134</f>
        <v>0</v>
      </c>
      <c r="J653" s="179">
        <f>J296*'WK3 - Notional GI Yr1 YIELD'!$D134</f>
        <v>0</v>
      </c>
      <c r="K653" s="179">
        <f>K296*'WK3 - Notional GI Yr1 YIELD'!$D134</f>
        <v>0</v>
      </c>
      <c r="L653" s="179">
        <f>L296*'WK3 - Notional GI Yr1 YIELD'!$D134</f>
        <v>0</v>
      </c>
      <c r="M653" s="179"/>
      <c r="N653" s="179"/>
      <c r="O653" s="179"/>
      <c r="P653" s="179"/>
      <c r="Q653" s="179"/>
      <c r="R653" s="179"/>
      <c r="S653" s="179"/>
      <c r="T653" s="179"/>
      <c r="U653" s="179"/>
      <c r="V653" s="179"/>
      <c r="W653" s="179"/>
      <c r="X653" s="179"/>
      <c r="Y653" s="179"/>
      <c r="Z653" s="179"/>
      <c r="AA653" s="179"/>
      <c r="AB653" s="179"/>
      <c r="AC653" s="179"/>
      <c r="AD653" s="179"/>
      <c r="AE653" s="179"/>
      <c r="AF653" s="179"/>
      <c r="AG653" s="179"/>
      <c r="AH653" s="179"/>
      <c r="AI653" s="179"/>
      <c r="AJ653" s="179"/>
      <c r="AK653" s="179"/>
      <c r="AL653" s="179"/>
      <c r="AM653" s="179"/>
      <c r="AN653" s="179"/>
      <c r="AO653" s="179"/>
    </row>
    <row r="654" spans="3:41" hidden="1" x14ac:dyDescent="0.2">
      <c r="C654" s="179" t="str">
        <f t="shared" si="265"/>
        <v>Special rate</v>
      </c>
      <c r="D654" s="179" t="str">
        <f t="shared" si="265"/>
        <v/>
      </c>
      <c r="E654" s="179"/>
      <c r="F654" s="179">
        <f>F297*'WK3 - Notional GI Yr1 YIELD'!$D135</f>
        <v>0</v>
      </c>
      <c r="G654" s="179">
        <f>G297*'WK3 - Notional GI Yr1 YIELD'!$D135</f>
        <v>0</v>
      </c>
      <c r="H654" s="179">
        <f>H297*'WK3 - Notional GI Yr1 YIELD'!$D135</f>
        <v>0</v>
      </c>
      <c r="I654" s="179">
        <f>I297*'WK3 - Notional GI Yr1 YIELD'!$D135</f>
        <v>0</v>
      </c>
      <c r="J654" s="179">
        <f>J297*'WK3 - Notional GI Yr1 YIELD'!$D135</f>
        <v>0</v>
      </c>
      <c r="K654" s="179">
        <f>K297*'WK3 - Notional GI Yr1 YIELD'!$D135</f>
        <v>0</v>
      </c>
      <c r="L654" s="179">
        <f>L297*'WK3 - Notional GI Yr1 YIELD'!$D135</f>
        <v>0</v>
      </c>
      <c r="M654" s="179"/>
      <c r="N654" s="179"/>
      <c r="O654" s="179"/>
      <c r="P654" s="179"/>
      <c r="Q654" s="179"/>
      <c r="R654" s="179"/>
      <c r="S654" s="179"/>
      <c r="T654" s="179"/>
      <c r="U654" s="179"/>
      <c r="V654" s="179"/>
      <c r="W654" s="179"/>
      <c r="X654" s="179"/>
      <c r="Y654" s="179"/>
      <c r="Z654" s="179"/>
      <c r="AA654" s="179"/>
      <c r="AB654" s="179"/>
      <c r="AC654" s="179"/>
      <c r="AD654" s="179"/>
      <c r="AE654" s="179"/>
      <c r="AF654" s="179"/>
      <c r="AG654" s="179"/>
      <c r="AH654" s="179"/>
      <c r="AI654" s="179"/>
      <c r="AJ654" s="179"/>
      <c r="AK654" s="179"/>
      <c r="AL654" s="179"/>
      <c r="AM654" s="179"/>
      <c r="AN654" s="179"/>
      <c r="AO654" s="179"/>
    </row>
    <row r="655" spans="3:41" hidden="1" x14ac:dyDescent="0.2">
      <c r="C655" s="179" t="str">
        <f t="shared" si="265"/>
        <v>Special rate</v>
      </c>
      <c r="D655" s="179" t="str">
        <f t="shared" si="265"/>
        <v/>
      </c>
      <c r="E655" s="179"/>
      <c r="F655" s="179">
        <f>F298*'WK3 - Notional GI Yr1 YIELD'!$D136</f>
        <v>0</v>
      </c>
      <c r="G655" s="179">
        <f>G298*'WK3 - Notional GI Yr1 YIELD'!$D136</f>
        <v>0</v>
      </c>
      <c r="H655" s="179">
        <f>H298*'WK3 - Notional GI Yr1 YIELD'!$D136</f>
        <v>0</v>
      </c>
      <c r="I655" s="179">
        <f>I298*'WK3 - Notional GI Yr1 YIELD'!$D136</f>
        <v>0</v>
      </c>
      <c r="J655" s="179">
        <f>J298*'WK3 - Notional GI Yr1 YIELD'!$D136</f>
        <v>0</v>
      </c>
      <c r="K655" s="179">
        <f>K298*'WK3 - Notional GI Yr1 YIELD'!$D136</f>
        <v>0</v>
      </c>
      <c r="L655" s="179">
        <f>L298*'WK3 - Notional GI Yr1 YIELD'!$D136</f>
        <v>0</v>
      </c>
      <c r="M655" s="179"/>
      <c r="N655" s="179"/>
      <c r="O655" s="179"/>
      <c r="P655" s="179"/>
      <c r="Q655" s="179"/>
      <c r="R655" s="179"/>
      <c r="S655" s="179"/>
      <c r="T655" s="179"/>
      <c r="U655" s="179"/>
      <c r="V655" s="179"/>
      <c r="W655" s="179"/>
      <c r="X655" s="179"/>
      <c r="Y655" s="179"/>
      <c r="Z655" s="179"/>
      <c r="AA655" s="179"/>
      <c r="AB655" s="179"/>
      <c r="AC655" s="179"/>
      <c r="AD655" s="179"/>
      <c r="AE655" s="179"/>
      <c r="AF655" s="179"/>
      <c r="AG655" s="179"/>
      <c r="AH655" s="179"/>
      <c r="AI655" s="179"/>
      <c r="AJ655" s="179"/>
      <c r="AK655" s="179"/>
      <c r="AL655" s="179"/>
      <c r="AM655" s="179"/>
      <c r="AN655" s="179"/>
      <c r="AO655" s="179"/>
    </row>
    <row r="656" spans="3:41" hidden="1" x14ac:dyDescent="0.2">
      <c r="C656" s="179" t="str">
        <f t="shared" si="265"/>
        <v>Special rate</v>
      </c>
      <c r="D656" s="179" t="str">
        <f t="shared" si="265"/>
        <v/>
      </c>
      <c r="E656" s="179"/>
      <c r="F656" s="179">
        <f>F299*'WK3 - Notional GI Yr1 YIELD'!$D137</f>
        <v>0</v>
      </c>
      <c r="G656" s="179">
        <f>G299*'WK3 - Notional GI Yr1 YIELD'!$D137</f>
        <v>0</v>
      </c>
      <c r="H656" s="179">
        <f>H299*'WK3 - Notional GI Yr1 YIELD'!$D137</f>
        <v>0</v>
      </c>
      <c r="I656" s="179">
        <f>I299*'WK3 - Notional GI Yr1 YIELD'!$D137</f>
        <v>0</v>
      </c>
      <c r="J656" s="179">
        <f>J299*'WK3 - Notional GI Yr1 YIELD'!$D137</f>
        <v>0</v>
      </c>
      <c r="K656" s="179">
        <f>K299*'WK3 - Notional GI Yr1 YIELD'!$D137</f>
        <v>0</v>
      </c>
      <c r="L656" s="179">
        <f>L299*'WK3 - Notional GI Yr1 YIELD'!$D137</f>
        <v>0</v>
      </c>
      <c r="M656" s="179"/>
      <c r="N656" s="179"/>
      <c r="O656" s="179"/>
      <c r="P656" s="179"/>
      <c r="Q656" s="179"/>
      <c r="R656" s="179"/>
      <c r="S656" s="179"/>
      <c r="T656" s="179"/>
      <c r="U656" s="179"/>
      <c r="V656" s="179"/>
      <c r="W656" s="179"/>
      <c r="X656" s="179"/>
      <c r="Y656" s="179"/>
      <c r="Z656" s="179"/>
      <c r="AA656" s="179"/>
      <c r="AB656" s="179"/>
      <c r="AC656" s="179"/>
      <c r="AD656" s="179"/>
      <c r="AE656" s="179"/>
      <c r="AF656" s="179"/>
      <c r="AG656" s="179"/>
      <c r="AH656" s="179"/>
      <c r="AI656" s="179"/>
      <c r="AJ656" s="179"/>
      <c r="AK656" s="179"/>
      <c r="AL656" s="179"/>
      <c r="AM656" s="179"/>
      <c r="AN656" s="179"/>
      <c r="AO656" s="179"/>
    </row>
    <row r="657" spans="3:41" hidden="1" x14ac:dyDescent="0.2">
      <c r="C657" s="179" t="str">
        <f t="shared" si="265"/>
        <v>Special rate</v>
      </c>
      <c r="D657" s="179" t="str">
        <f t="shared" si="265"/>
        <v/>
      </c>
      <c r="E657" s="179"/>
      <c r="F657" s="179">
        <f>F300*'WK3 - Notional GI Yr1 YIELD'!$D138</f>
        <v>0</v>
      </c>
      <c r="G657" s="179">
        <f>G300*'WK3 - Notional GI Yr1 YIELD'!$D138</f>
        <v>0</v>
      </c>
      <c r="H657" s="179">
        <f>H300*'WK3 - Notional GI Yr1 YIELD'!$D138</f>
        <v>0</v>
      </c>
      <c r="I657" s="179">
        <f>I300*'WK3 - Notional GI Yr1 YIELD'!$D138</f>
        <v>0</v>
      </c>
      <c r="J657" s="179">
        <f>J300*'WK3 - Notional GI Yr1 YIELD'!$D138</f>
        <v>0</v>
      </c>
      <c r="K657" s="179">
        <f>K300*'WK3 - Notional GI Yr1 YIELD'!$D138</f>
        <v>0</v>
      </c>
      <c r="L657" s="179">
        <f>L300*'WK3 - Notional GI Yr1 YIELD'!$D138</f>
        <v>0</v>
      </c>
      <c r="M657" s="179"/>
      <c r="N657" s="179"/>
      <c r="O657" s="179"/>
      <c r="P657" s="179"/>
      <c r="Q657" s="179"/>
      <c r="R657" s="179"/>
      <c r="S657" s="179"/>
      <c r="T657" s="179"/>
      <c r="U657" s="179"/>
      <c r="V657" s="179"/>
      <c r="W657" s="179"/>
      <c r="X657" s="179"/>
      <c r="Y657" s="179"/>
      <c r="Z657" s="179"/>
      <c r="AA657" s="179"/>
      <c r="AB657" s="179"/>
      <c r="AC657" s="179"/>
      <c r="AD657" s="179"/>
      <c r="AE657" s="179"/>
      <c r="AF657" s="179"/>
      <c r="AG657" s="179"/>
      <c r="AH657" s="179"/>
      <c r="AI657" s="179"/>
      <c r="AJ657" s="179"/>
      <c r="AK657" s="179"/>
      <c r="AL657" s="179"/>
      <c r="AM657" s="179"/>
      <c r="AN657" s="179"/>
      <c r="AO657" s="179"/>
    </row>
    <row r="658" spans="3:41" hidden="1" x14ac:dyDescent="0.2">
      <c r="C658" s="179" t="str">
        <f t="shared" si="265"/>
        <v>Special rate</v>
      </c>
      <c r="D658" s="179" t="str">
        <f t="shared" si="265"/>
        <v/>
      </c>
      <c r="E658" s="179"/>
      <c r="F658" s="179">
        <f>F301*'WK3 - Notional GI Yr1 YIELD'!$D139</f>
        <v>0</v>
      </c>
      <c r="G658" s="179">
        <f>G301*'WK3 - Notional GI Yr1 YIELD'!$D139</f>
        <v>0</v>
      </c>
      <c r="H658" s="179">
        <f>H301*'WK3 - Notional GI Yr1 YIELD'!$D139</f>
        <v>0</v>
      </c>
      <c r="I658" s="179">
        <f>I301*'WK3 - Notional GI Yr1 YIELD'!$D139</f>
        <v>0</v>
      </c>
      <c r="J658" s="179">
        <f>J301*'WK3 - Notional GI Yr1 YIELD'!$D139</f>
        <v>0</v>
      </c>
      <c r="K658" s="179">
        <f>K301*'WK3 - Notional GI Yr1 YIELD'!$D139</f>
        <v>0</v>
      </c>
      <c r="L658" s="179">
        <f>L301*'WK3 - Notional GI Yr1 YIELD'!$D139</f>
        <v>0</v>
      </c>
      <c r="M658" s="179"/>
      <c r="N658" s="179"/>
      <c r="O658" s="179"/>
      <c r="P658" s="179"/>
      <c r="Q658" s="179"/>
      <c r="R658" s="179"/>
      <c r="S658" s="179"/>
      <c r="T658" s="179"/>
      <c r="U658" s="179"/>
      <c r="V658" s="179"/>
      <c r="W658" s="179"/>
      <c r="X658" s="179"/>
      <c r="Y658" s="179"/>
      <c r="Z658" s="179"/>
      <c r="AA658" s="179"/>
      <c r="AB658" s="179"/>
      <c r="AC658" s="179"/>
      <c r="AD658" s="179"/>
      <c r="AE658" s="179"/>
      <c r="AF658" s="179"/>
      <c r="AG658" s="179"/>
      <c r="AH658" s="179"/>
      <c r="AI658" s="179"/>
      <c r="AJ658" s="179"/>
      <c r="AK658" s="179"/>
      <c r="AL658" s="179"/>
      <c r="AM658" s="179"/>
      <c r="AN658" s="179"/>
      <c r="AO658" s="179"/>
    </row>
    <row r="659" spans="3:41" hidden="1" x14ac:dyDescent="0.2">
      <c r="C659" s="179" t="str">
        <f t="shared" si="265"/>
        <v>Special rate</v>
      </c>
      <c r="D659" s="179" t="str">
        <f t="shared" si="265"/>
        <v/>
      </c>
      <c r="E659" s="179"/>
      <c r="F659" s="179">
        <f>F302*'WK3 - Notional GI Yr1 YIELD'!$D140</f>
        <v>0</v>
      </c>
      <c r="G659" s="179">
        <f>G302*'WK3 - Notional GI Yr1 YIELD'!$D140</f>
        <v>0</v>
      </c>
      <c r="H659" s="179">
        <f>H302*'WK3 - Notional GI Yr1 YIELD'!$D140</f>
        <v>0</v>
      </c>
      <c r="I659" s="179">
        <f>I302*'WK3 - Notional GI Yr1 YIELD'!$D140</f>
        <v>0</v>
      </c>
      <c r="J659" s="179">
        <f>J302*'WK3 - Notional GI Yr1 YIELD'!$D140</f>
        <v>0</v>
      </c>
      <c r="K659" s="179">
        <f>K302*'WK3 - Notional GI Yr1 YIELD'!$D140</f>
        <v>0</v>
      </c>
      <c r="L659" s="179">
        <f>L302*'WK3 - Notional GI Yr1 YIELD'!$D140</f>
        <v>0</v>
      </c>
      <c r="M659" s="179"/>
      <c r="N659" s="179"/>
      <c r="O659" s="179"/>
      <c r="P659" s="179"/>
      <c r="Q659" s="179"/>
      <c r="R659" s="179"/>
      <c r="S659" s="179"/>
      <c r="T659" s="179"/>
      <c r="U659" s="179"/>
      <c r="V659" s="179"/>
      <c r="W659" s="179"/>
      <c r="X659" s="179"/>
      <c r="Y659" s="179"/>
      <c r="Z659" s="179"/>
      <c r="AA659" s="179"/>
      <c r="AB659" s="179"/>
      <c r="AC659" s="179"/>
      <c r="AD659" s="179"/>
      <c r="AE659" s="179"/>
      <c r="AF659" s="179"/>
      <c r="AG659" s="179"/>
      <c r="AH659" s="179"/>
      <c r="AI659" s="179"/>
      <c r="AJ659" s="179"/>
      <c r="AK659" s="179"/>
      <c r="AL659" s="179"/>
      <c r="AM659" s="179"/>
      <c r="AN659" s="179"/>
      <c r="AO659" s="179"/>
    </row>
    <row r="660" spans="3:41" hidden="1" x14ac:dyDescent="0.2">
      <c r="C660" s="179" t="str">
        <f t="shared" si="265"/>
        <v>Special rate</v>
      </c>
      <c r="D660" s="179" t="str">
        <f t="shared" si="265"/>
        <v/>
      </c>
      <c r="E660" s="179"/>
      <c r="F660" s="179">
        <f>F303*'WK3 - Notional GI Yr1 YIELD'!$D141</f>
        <v>0</v>
      </c>
      <c r="G660" s="179">
        <f>G303*'WK3 - Notional GI Yr1 YIELD'!$D141</f>
        <v>0</v>
      </c>
      <c r="H660" s="179">
        <f>H303*'WK3 - Notional GI Yr1 YIELD'!$D141</f>
        <v>0</v>
      </c>
      <c r="I660" s="179">
        <f>I303*'WK3 - Notional GI Yr1 YIELD'!$D141</f>
        <v>0</v>
      </c>
      <c r="J660" s="179">
        <f>J303*'WK3 - Notional GI Yr1 YIELD'!$D141</f>
        <v>0</v>
      </c>
      <c r="K660" s="179">
        <f>K303*'WK3 - Notional GI Yr1 YIELD'!$D141</f>
        <v>0</v>
      </c>
      <c r="L660" s="179">
        <f>L303*'WK3 - Notional GI Yr1 YIELD'!$D141</f>
        <v>0</v>
      </c>
      <c r="M660" s="179"/>
      <c r="N660" s="179"/>
      <c r="O660" s="179"/>
      <c r="P660" s="179"/>
      <c r="Q660" s="179"/>
      <c r="R660" s="179"/>
      <c r="S660" s="179"/>
      <c r="T660" s="179"/>
      <c r="U660" s="179"/>
      <c r="V660" s="179"/>
      <c r="W660" s="179"/>
      <c r="X660" s="179"/>
      <c r="Y660" s="179"/>
      <c r="Z660" s="179"/>
      <c r="AA660" s="179"/>
      <c r="AB660" s="179"/>
      <c r="AC660" s="179"/>
      <c r="AD660" s="179"/>
      <c r="AE660" s="179"/>
      <c r="AF660" s="179"/>
      <c r="AG660" s="179"/>
      <c r="AH660" s="179"/>
      <c r="AI660" s="179"/>
      <c r="AJ660" s="179"/>
      <c r="AK660" s="179"/>
      <c r="AL660" s="179"/>
      <c r="AM660" s="179"/>
      <c r="AN660" s="179"/>
      <c r="AO660" s="179"/>
    </row>
    <row r="661" spans="3:41" s="162" customFormat="1" ht="12" hidden="1" x14ac:dyDescent="0.25">
      <c r="C661" s="656"/>
      <c r="D661" s="656" t="str">
        <f>D537</f>
        <v>TOTAL INCOME FROM MINING</v>
      </c>
      <c r="E661" s="656"/>
      <c r="F661" s="656">
        <f>SUM(F641:F660)</f>
        <v>0</v>
      </c>
      <c r="G661" s="656">
        <f t="shared" ref="G661:L661" si="266">SUM(G641:G660)</f>
        <v>0</v>
      </c>
      <c r="H661" s="656">
        <f t="shared" si="266"/>
        <v>0</v>
      </c>
      <c r="I661" s="656">
        <f t="shared" si="266"/>
        <v>0</v>
      </c>
      <c r="J661" s="656">
        <f t="shared" si="266"/>
        <v>0</v>
      </c>
      <c r="K661" s="656">
        <f t="shared" si="266"/>
        <v>0</v>
      </c>
      <c r="L661" s="656">
        <f t="shared" si="266"/>
        <v>0</v>
      </c>
      <c r="M661" s="179">
        <f>SUM(M641:M660)</f>
        <v>0</v>
      </c>
      <c r="N661" s="656"/>
      <c r="O661" s="656"/>
      <c r="P661" s="656"/>
      <c r="Q661" s="656"/>
      <c r="R661" s="656"/>
      <c r="S661" s="656"/>
      <c r="T661" s="656"/>
      <c r="U661" s="656"/>
      <c r="V661" s="656"/>
      <c r="W661" s="656"/>
      <c r="X661" s="656"/>
      <c r="Y661" s="656"/>
      <c r="Z661" s="656"/>
      <c r="AA661" s="656"/>
      <c r="AB661" s="656"/>
      <c r="AC661" s="656"/>
      <c r="AD661" s="656"/>
      <c r="AE661" s="656"/>
      <c r="AF661" s="656"/>
      <c r="AG661" s="656"/>
      <c r="AH661" s="656"/>
      <c r="AI661" s="656"/>
      <c r="AJ661" s="656"/>
      <c r="AK661" s="656"/>
      <c r="AL661" s="656"/>
      <c r="AM661" s="656"/>
      <c r="AN661" s="656"/>
      <c r="AO661" s="656"/>
    </row>
    <row r="662" spans="3:41" hidden="1" x14ac:dyDescent="0.2"/>
  </sheetData>
  <sheetProtection password="CC77" sheet="1"/>
  <mergeCells count="145">
    <mergeCell ref="N57:AM57"/>
    <mergeCell ref="AB58:AE58"/>
    <mergeCell ref="F344:L344"/>
    <mergeCell ref="AJ372:AM372"/>
    <mergeCell ref="N344:AM344"/>
    <mergeCell ref="N371:AM371"/>
    <mergeCell ref="C2:G2"/>
    <mergeCell ref="C4:L4"/>
    <mergeCell ref="F57:L57"/>
    <mergeCell ref="T184:W184"/>
    <mergeCell ref="AF184:AI184"/>
    <mergeCell ref="AJ184:AM184"/>
    <mergeCell ref="T58:W58"/>
    <mergeCell ref="P22:S22"/>
    <mergeCell ref="T22:W22"/>
    <mergeCell ref="X58:AA58"/>
    <mergeCell ref="AF58:AI58"/>
    <mergeCell ref="AJ58:AM58"/>
    <mergeCell ref="P184:S184"/>
    <mergeCell ref="N58:O58"/>
    <mergeCell ref="P58:S58"/>
    <mergeCell ref="F21:L21"/>
    <mergeCell ref="N21:AM21"/>
    <mergeCell ref="AF22:AI22"/>
    <mergeCell ref="AJ22:AM22"/>
    <mergeCell ref="N22:O22"/>
    <mergeCell ref="X22:AA22"/>
    <mergeCell ref="AB22:AE22"/>
    <mergeCell ref="X184:AA184"/>
    <mergeCell ref="AB184:AE184"/>
    <mergeCell ref="C316:D316"/>
    <mergeCell ref="C317:D317"/>
    <mergeCell ref="C312:D312"/>
    <mergeCell ref="N312:O312"/>
    <mergeCell ref="N184:O184"/>
    <mergeCell ref="F183:L183"/>
    <mergeCell ref="N183:AM183"/>
    <mergeCell ref="C314:D314"/>
    <mergeCell ref="C315:D315"/>
    <mergeCell ref="F311:L311"/>
    <mergeCell ref="X312:AA312"/>
    <mergeCell ref="AB312:AE312"/>
    <mergeCell ref="AF312:AI312"/>
    <mergeCell ref="AJ312:AM312"/>
    <mergeCell ref="N311:AM311"/>
    <mergeCell ref="P312:S312"/>
    <mergeCell ref="T312:W312"/>
    <mergeCell ref="C323:D323"/>
    <mergeCell ref="C324:D324"/>
    <mergeCell ref="C325:D325"/>
    <mergeCell ref="C318:D318"/>
    <mergeCell ref="C319:D319"/>
    <mergeCell ref="C320:D320"/>
    <mergeCell ref="C321:D321"/>
    <mergeCell ref="C322:D322"/>
    <mergeCell ref="C330:D330"/>
    <mergeCell ref="C331:D331"/>
    <mergeCell ref="C332:D332"/>
    <mergeCell ref="C333:D333"/>
    <mergeCell ref="C326:D326"/>
    <mergeCell ref="C327:D327"/>
    <mergeCell ref="C328:D328"/>
    <mergeCell ref="C329:D329"/>
    <mergeCell ref="C338:D338"/>
    <mergeCell ref="C339:D339"/>
    <mergeCell ref="C334:D334"/>
    <mergeCell ref="C335:D335"/>
    <mergeCell ref="C336:D336"/>
    <mergeCell ref="C337:D337"/>
    <mergeCell ref="C348:D348"/>
    <mergeCell ref="C349:D349"/>
    <mergeCell ref="C350:D350"/>
    <mergeCell ref="C351:D351"/>
    <mergeCell ref="C347:D347"/>
    <mergeCell ref="C345:D345"/>
    <mergeCell ref="C356:D356"/>
    <mergeCell ref="C357:D357"/>
    <mergeCell ref="C358:D358"/>
    <mergeCell ref="C359:D359"/>
    <mergeCell ref="C352:D352"/>
    <mergeCell ref="C353:D353"/>
    <mergeCell ref="C354:D354"/>
    <mergeCell ref="C355:D355"/>
    <mergeCell ref="C364:D364"/>
    <mergeCell ref="C365:D365"/>
    <mergeCell ref="C366:D366"/>
    <mergeCell ref="F371:L371"/>
    <mergeCell ref="C360:D360"/>
    <mergeCell ref="C361:D361"/>
    <mergeCell ref="C362:D362"/>
    <mergeCell ref="C363:D363"/>
    <mergeCell ref="C378:D378"/>
    <mergeCell ref="AB372:AE372"/>
    <mergeCell ref="AF372:AI372"/>
    <mergeCell ref="C383:D383"/>
    <mergeCell ref="C384:D384"/>
    <mergeCell ref="C385:D385"/>
    <mergeCell ref="C386:D386"/>
    <mergeCell ref="C379:D379"/>
    <mergeCell ref="C380:D380"/>
    <mergeCell ref="C381:D381"/>
    <mergeCell ref="C382:D382"/>
    <mergeCell ref="C374:D374"/>
    <mergeCell ref="C372:D372"/>
    <mergeCell ref="N372:O372"/>
    <mergeCell ref="P372:S372"/>
    <mergeCell ref="T372:W372"/>
    <mergeCell ref="X372:AA372"/>
    <mergeCell ref="C375:D375"/>
    <mergeCell ref="C376:D376"/>
    <mergeCell ref="C377:D377"/>
    <mergeCell ref="C391:D391"/>
    <mergeCell ref="C392:D392"/>
    <mergeCell ref="C393:D393"/>
    <mergeCell ref="F398:L398"/>
    <mergeCell ref="C387:D387"/>
    <mergeCell ref="C388:D388"/>
    <mergeCell ref="C389:D389"/>
    <mergeCell ref="C390:D390"/>
    <mergeCell ref="AB399:AE399"/>
    <mergeCell ref="N398:AM398"/>
    <mergeCell ref="C401:D401"/>
    <mergeCell ref="C399:D399"/>
    <mergeCell ref="N399:O399"/>
    <mergeCell ref="P399:S399"/>
    <mergeCell ref="T399:W399"/>
    <mergeCell ref="X399:AA399"/>
    <mergeCell ref="C410:D410"/>
    <mergeCell ref="C405:D405"/>
    <mergeCell ref="C406:D406"/>
    <mergeCell ref="C407:D407"/>
    <mergeCell ref="C408:D408"/>
    <mergeCell ref="C402:D402"/>
    <mergeCell ref="C403:D403"/>
    <mergeCell ref="C404:D404"/>
    <mergeCell ref="C409:D409"/>
    <mergeCell ref="AB345:AE345"/>
    <mergeCell ref="AF345:AI345"/>
    <mergeCell ref="AJ345:AM345"/>
    <mergeCell ref="T345:W345"/>
    <mergeCell ref="X345:AA345"/>
    <mergeCell ref="N345:O345"/>
    <mergeCell ref="P345:S345"/>
    <mergeCell ref="AF399:AI399"/>
    <mergeCell ref="AJ399:AM399"/>
  </mergeCells>
  <phoneticPr fontId="17" type="noConversion"/>
  <dataValidations count="2">
    <dataValidation type="list" showInputMessage="1" showErrorMessage="1" sqref="C305">
      <formula1>$C$412:$C$417</formula1>
    </dataValidation>
    <dataValidation type="decimal" operator="greaterThan" allowBlank="1" showInputMessage="1" showErrorMessage="1" errorTitle="Minimum Amounts" error="Enter the proposed minimum amount for each category or sub-category." sqref="F45:F53 H45:H53 J45:J53">
      <formula1>0</formula1>
    </dataValidation>
  </dataValidations>
  <printOptions horizontalCentered="1"/>
  <pageMargins left="0.31496062992125984" right="0.31496062992125984" top="0.35433070866141736" bottom="0.35433070866141736" header="0.11811023622047245" footer="0.11811023622047245"/>
  <pageSetup paperSize="9" scale="36" fitToHeight="0" pageOrder="overThenDown" orientation="landscape" r:id="rId1"/>
  <headerFooter alignWithMargins="0"/>
  <rowBreaks count="2" manualBreakCount="2">
    <brk id="306" min="1" max="39" man="1"/>
    <brk id="367" min="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V457"/>
  <sheetViews>
    <sheetView showGridLines="0" view="pageBreakPreview" topLeftCell="B1" zoomScale="75" zoomScaleNormal="100" zoomScaleSheetLayoutView="75" workbookViewId="0">
      <selection activeCell="C1" sqref="C1"/>
    </sheetView>
  </sheetViews>
  <sheetFormatPr defaultRowHeight="11.4" x14ac:dyDescent="0.2"/>
  <cols>
    <col min="1" max="1" width="2.75" hidden="1" customWidth="1"/>
    <col min="2" max="2" width="1.75" customWidth="1"/>
    <col min="3" max="3" width="21.875" customWidth="1"/>
    <col min="4" max="4" width="23.625" customWidth="1"/>
    <col min="5" max="5" width="18.625" style="120" customWidth="1"/>
    <col min="6" max="6" width="12.75" customWidth="1"/>
    <col min="7" max="12" width="12.875" customWidth="1"/>
    <col min="13" max="13" width="12.75" customWidth="1"/>
    <col min="14" max="14" width="5.125" customWidth="1"/>
    <col min="15" max="15" width="1.875" customWidth="1"/>
    <col min="16" max="16" width="19.375" customWidth="1"/>
    <col min="17" max="17" width="12.75" customWidth="1"/>
    <col min="18" max="18" width="9.625" customWidth="1"/>
    <col min="19" max="19" width="12.75" customWidth="1"/>
    <col min="20" max="20" width="9.625" customWidth="1"/>
    <col min="21" max="21" width="12.75" customWidth="1"/>
    <col min="22" max="22" width="9.625" customWidth="1"/>
    <col min="23" max="23" width="12.75" customWidth="1"/>
    <col min="24" max="24" width="9.625" customWidth="1"/>
    <col min="25" max="25" width="12.75" customWidth="1"/>
    <col min="26" max="26" width="9.625" customWidth="1"/>
    <col min="27" max="27" width="12.75" customWidth="1"/>
    <col min="28" max="28" width="9.625" customWidth="1"/>
    <col min="29" max="29" width="12.75" customWidth="1"/>
    <col min="30" max="30" width="9.625" customWidth="1"/>
    <col min="31" max="31" width="18.875" hidden="1" customWidth="1"/>
    <col min="32" max="32" width="1.125" customWidth="1"/>
    <col min="33" max="33" width="1" customWidth="1"/>
    <col min="34" max="34" width="18.875" customWidth="1"/>
    <col min="35" max="35" width="12.75" customWidth="1"/>
    <col min="36" max="36" width="9.625" customWidth="1"/>
    <col min="37" max="37" width="12.75" customWidth="1"/>
    <col min="38" max="38" width="9.75" customWidth="1"/>
    <col min="39" max="39" width="12.75" customWidth="1"/>
    <col min="40" max="40" width="9.625" customWidth="1"/>
    <col min="41" max="41" width="12.75" customWidth="1"/>
    <col min="42" max="42" width="9.625" customWidth="1"/>
    <col min="43" max="43" width="12.75" customWidth="1"/>
    <col min="44" max="44" width="9.625" customWidth="1"/>
    <col min="45" max="45" width="12.875" customWidth="1"/>
    <col min="46" max="46" width="9.75" customWidth="1"/>
    <col min="47" max="47" width="1.125" customWidth="1"/>
  </cols>
  <sheetData>
    <row r="1" spans="1:47" x14ac:dyDescent="0.2">
      <c r="A1" s="25"/>
      <c r="B1" s="38"/>
      <c r="C1" s="38"/>
      <c r="D1" s="38"/>
      <c r="E1" s="213"/>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row>
    <row r="2" spans="1:47" ht="15.6" x14ac:dyDescent="0.3">
      <c r="A2" s="26"/>
      <c r="B2" s="38"/>
      <c r="C2" s="818" t="str">
        <f>'WK1 - Identification'!E11</f>
        <v>Lismore City Council</v>
      </c>
      <c r="D2" s="769"/>
      <c r="E2" s="769"/>
      <c r="F2" s="769"/>
      <c r="G2" s="769"/>
      <c r="H2" s="769"/>
      <c r="I2" s="770"/>
      <c r="J2" s="207"/>
      <c r="K2" s="207"/>
      <c r="L2" s="207"/>
      <c r="M2" s="207"/>
      <c r="N2" s="207"/>
      <c r="O2" s="207"/>
      <c r="P2" s="207"/>
      <c r="Q2" s="207"/>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212" t="s">
        <v>20</v>
      </c>
      <c r="AS2" s="212"/>
      <c r="AT2" s="212"/>
      <c r="AU2" s="212"/>
    </row>
    <row r="3" spans="1:47" x14ac:dyDescent="0.2">
      <c r="A3" s="26"/>
      <c r="B3" s="38"/>
      <c r="C3" s="38"/>
      <c r="D3" s="38"/>
      <c r="E3" s="213"/>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row>
    <row r="4" spans="1:47" ht="30" x14ac:dyDescent="0.5">
      <c r="A4" s="26"/>
      <c r="B4" s="38"/>
      <c r="C4" s="756" t="s">
        <v>335</v>
      </c>
      <c r="D4" s="756"/>
      <c r="E4" s="756"/>
      <c r="F4" s="756"/>
      <c r="G4" s="756"/>
      <c r="H4" s="756"/>
      <c r="I4" s="756"/>
      <c r="J4" s="756"/>
      <c r="K4" s="756"/>
      <c r="L4" s="756"/>
      <c r="M4" s="756"/>
      <c r="N4" s="214"/>
      <c r="O4" s="214"/>
      <c r="P4" s="214"/>
      <c r="Q4" s="214"/>
      <c r="R4" s="214"/>
      <c r="S4" s="214"/>
      <c r="T4" s="214"/>
      <c r="U4" s="214"/>
      <c r="V4" s="214"/>
      <c r="W4" s="214"/>
      <c r="X4" s="214"/>
      <c r="Y4" s="214"/>
      <c r="Z4" s="214"/>
      <c r="AA4" s="214"/>
      <c r="AB4" s="214"/>
      <c r="AC4" s="214"/>
      <c r="AD4" s="214"/>
      <c r="AE4" s="214"/>
      <c r="AF4" s="38"/>
      <c r="AG4" s="38"/>
      <c r="AH4" s="214"/>
      <c r="AI4" s="214"/>
      <c r="AJ4" s="214"/>
      <c r="AK4" s="214"/>
      <c r="AL4" s="214"/>
      <c r="AM4" s="214"/>
      <c r="AN4" s="214"/>
      <c r="AO4" s="214"/>
      <c r="AP4" s="214"/>
      <c r="AQ4" s="214"/>
      <c r="AR4" s="214"/>
      <c r="AS4" s="214"/>
      <c r="AT4" s="214"/>
      <c r="AU4" s="214"/>
    </row>
    <row r="5" spans="1:47" x14ac:dyDescent="0.2">
      <c r="A5" s="26"/>
      <c r="B5" s="38"/>
      <c r="C5" s="38"/>
      <c r="D5" s="38"/>
      <c r="E5" s="213"/>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row>
    <row r="6" spans="1:47" ht="17.399999999999999" x14ac:dyDescent="0.3">
      <c r="A6" s="26"/>
      <c r="B6" s="38"/>
      <c r="C6" s="38"/>
      <c r="D6" s="38"/>
      <c r="E6" s="213"/>
      <c r="F6" s="37" t="s">
        <v>729</v>
      </c>
      <c r="G6" s="37"/>
      <c r="H6" s="37"/>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row>
    <row r="7" spans="1:47" x14ac:dyDescent="0.2">
      <c r="A7" s="26"/>
      <c r="B7" s="38"/>
      <c r="C7" s="38"/>
      <c r="D7" s="38"/>
      <c r="E7" s="213"/>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row>
    <row r="8" spans="1:47" ht="22.8" x14ac:dyDescent="0.4">
      <c r="A8" s="27"/>
      <c r="B8" s="81"/>
      <c r="C8" s="793" t="s">
        <v>575</v>
      </c>
      <c r="D8" s="793"/>
      <c r="E8" s="793"/>
      <c r="F8" s="793"/>
      <c r="G8" s="793"/>
      <c r="H8" s="793"/>
      <c r="I8" s="793"/>
      <c r="J8" s="793"/>
      <c r="K8" s="793"/>
      <c r="L8" s="793"/>
      <c r="M8" s="793"/>
      <c r="N8" s="215"/>
      <c r="O8" s="215"/>
      <c r="P8" s="215"/>
      <c r="Q8" s="215"/>
      <c r="R8" s="215"/>
      <c r="S8" s="215"/>
      <c r="T8" s="215"/>
      <c r="U8" s="215"/>
      <c r="V8" s="215"/>
      <c r="W8" s="215"/>
      <c r="X8" s="215"/>
      <c r="Y8" s="215"/>
      <c r="Z8" s="215"/>
      <c r="AA8" s="215"/>
      <c r="AB8" s="215"/>
      <c r="AC8" s="215"/>
      <c r="AD8" s="215"/>
      <c r="AE8" s="215"/>
      <c r="AF8" s="38"/>
      <c r="AG8" s="38"/>
      <c r="AH8" s="215"/>
      <c r="AI8" s="215"/>
      <c r="AJ8" s="215"/>
      <c r="AK8" s="215"/>
      <c r="AL8" s="215"/>
      <c r="AM8" s="215"/>
      <c r="AN8" s="215"/>
      <c r="AO8" s="215"/>
      <c r="AP8" s="215"/>
      <c r="AQ8" s="215"/>
      <c r="AR8" s="215"/>
      <c r="AS8" s="215"/>
      <c r="AT8" s="215"/>
      <c r="AU8" s="215"/>
    </row>
    <row r="9" spans="1:47" ht="15" x14ac:dyDescent="0.25">
      <c r="A9" s="26"/>
      <c r="B9" s="38"/>
      <c r="C9" s="712" t="s">
        <v>692</v>
      </c>
      <c r="D9" s="832"/>
      <c r="E9" s="832"/>
      <c r="F9" s="832"/>
      <c r="G9" s="832"/>
      <c r="H9" s="832"/>
      <c r="I9" s="832"/>
      <c r="J9" s="832"/>
      <c r="K9" s="832"/>
      <c r="L9" s="832"/>
      <c r="M9" s="832"/>
      <c r="N9" s="38"/>
      <c r="O9" s="38"/>
      <c r="P9" s="376" t="s">
        <v>72</v>
      </c>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row>
    <row r="10" spans="1:47" ht="15" x14ac:dyDescent="0.25">
      <c r="A10" s="26"/>
      <c r="B10" s="38"/>
      <c r="C10" s="712" t="s">
        <v>576</v>
      </c>
      <c r="D10" s="832"/>
      <c r="E10" s="832"/>
      <c r="F10" s="832"/>
      <c r="G10" s="832"/>
      <c r="H10" s="832"/>
      <c r="I10" s="832"/>
      <c r="J10" s="832"/>
      <c r="K10" s="832"/>
      <c r="L10" s="832"/>
      <c r="M10" s="832"/>
      <c r="N10" s="38"/>
      <c r="O10" s="38"/>
      <c r="P10" s="376" t="s">
        <v>75</v>
      </c>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row>
    <row r="11" spans="1:47" ht="15" x14ac:dyDescent="0.25">
      <c r="A11" s="26"/>
      <c r="B11" s="38"/>
      <c r="C11" s="203"/>
      <c r="D11" s="203"/>
      <c r="E11" s="203"/>
      <c r="F11" s="203"/>
      <c r="G11" s="203"/>
      <c r="H11" s="203"/>
      <c r="I11" s="203"/>
      <c r="J11" s="203"/>
      <c r="K11" s="203"/>
      <c r="L11" s="203"/>
      <c r="M11" s="203"/>
      <c r="N11" s="38"/>
      <c r="O11" s="38"/>
      <c r="P11" s="376"/>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row>
    <row r="12" spans="1:47" ht="15" x14ac:dyDescent="0.25">
      <c r="A12" s="26"/>
      <c r="B12" s="38"/>
      <c r="C12" s="712" t="s">
        <v>577</v>
      </c>
      <c r="D12" s="832"/>
      <c r="E12" s="832"/>
      <c r="F12" s="832"/>
      <c r="G12" s="832"/>
      <c r="H12" s="832"/>
      <c r="I12" s="832"/>
      <c r="J12" s="832"/>
      <c r="K12" s="832"/>
      <c r="L12" s="832"/>
      <c r="M12" s="832"/>
      <c r="N12" s="38"/>
      <c r="O12" s="38"/>
      <c r="P12" s="376" t="s">
        <v>76</v>
      </c>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row>
    <row r="13" spans="1:47" ht="15" x14ac:dyDescent="0.25">
      <c r="A13" s="26"/>
      <c r="B13" s="38"/>
      <c r="C13" s="203"/>
      <c r="D13" s="203"/>
      <c r="E13" s="203"/>
      <c r="F13" s="203"/>
      <c r="G13" s="203"/>
      <c r="H13" s="203"/>
      <c r="I13" s="203"/>
      <c r="J13" s="203"/>
      <c r="K13" s="203"/>
      <c r="L13" s="203"/>
      <c r="M13" s="203"/>
      <c r="N13" s="203"/>
      <c r="O13" s="203"/>
      <c r="P13" s="376"/>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row>
    <row r="14" spans="1:47" ht="15" x14ac:dyDescent="0.25">
      <c r="A14" s="26"/>
      <c r="B14" s="38"/>
      <c r="C14" s="712" t="s">
        <v>578</v>
      </c>
      <c r="D14" s="832"/>
      <c r="E14" s="832"/>
      <c r="F14" s="832"/>
      <c r="G14" s="832"/>
      <c r="H14" s="832"/>
      <c r="I14" s="832"/>
      <c r="J14" s="832"/>
      <c r="K14" s="832"/>
      <c r="L14" s="832"/>
      <c r="M14" s="832"/>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row>
    <row r="15" spans="1:47" ht="15" x14ac:dyDescent="0.25">
      <c r="A15" s="26"/>
      <c r="B15" s="38"/>
      <c r="C15" s="203" t="s">
        <v>4</v>
      </c>
      <c r="D15" s="288"/>
      <c r="E15" s="288"/>
      <c r="F15" s="288"/>
      <c r="G15" s="288"/>
      <c r="H15" s="288"/>
      <c r="I15" s="288"/>
      <c r="J15" s="288"/>
      <c r="K15" s="288"/>
      <c r="L15" s="288"/>
      <c r="M15" s="28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47" ht="15" x14ac:dyDescent="0.25">
      <c r="A16" s="26"/>
      <c r="B16" s="38"/>
      <c r="C16" s="203"/>
      <c r="D16" s="288"/>
      <c r="E16" s="288"/>
      <c r="F16" s="288"/>
      <c r="G16" s="288"/>
      <c r="H16" s="288"/>
      <c r="I16" s="288"/>
      <c r="J16" s="288"/>
      <c r="K16" s="288"/>
      <c r="L16" s="288"/>
      <c r="M16" s="28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row>
    <row r="17" spans="1:48" ht="15.6" x14ac:dyDescent="0.3">
      <c r="A17" s="26"/>
      <c r="B17" s="38"/>
      <c r="C17" s="840" t="s">
        <v>579</v>
      </c>
      <c r="D17" s="840"/>
      <c r="E17" s="840"/>
      <c r="F17" s="840"/>
      <c r="G17" s="840"/>
      <c r="H17" s="840"/>
      <c r="I17" s="840"/>
      <c r="J17" s="840"/>
      <c r="K17" s="840"/>
      <c r="L17" s="840"/>
      <c r="M17" s="840"/>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row>
    <row r="18" spans="1:48" ht="15.6" x14ac:dyDescent="0.3">
      <c r="A18" s="26"/>
      <c r="B18" s="38"/>
      <c r="C18" s="116"/>
      <c r="D18" s="116"/>
      <c r="E18" s="116"/>
      <c r="F18" s="116"/>
      <c r="G18" s="116"/>
      <c r="H18" s="116"/>
      <c r="I18" s="116"/>
      <c r="J18" s="116"/>
      <c r="K18" s="116"/>
      <c r="L18" s="116"/>
      <c r="M18" s="116"/>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row>
    <row r="19" spans="1:48" ht="15.6" x14ac:dyDescent="0.3">
      <c r="A19" s="26"/>
      <c r="B19" s="38"/>
      <c r="C19" s="841" t="s">
        <v>580</v>
      </c>
      <c r="D19" s="841"/>
      <c r="E19" s="841"/>
      <c r="F19" s="841"/>
      <c r="G19" s="841"/>
      <c r="H19" s="841"/>
      <c r="I19" s="841"/>
      <c r="J19" s="841"/>
      <c r="K19" s="841"/>
      <c r="L19" s="841"/>
      <c r="M19" s="116"/>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row>
    <row r="20" spans="1:48" ht="15.6" x14ac:dyDescent="0.3">
      <c r="A20" s="26"/>
      <c r="B20" s="38"/>
      <c r="C20" s="534"/>
      <c r="D20" s="534"/>
      <c r="E20" s="534"/>
      <c r="F20" s="534"/>
      <c r="G20" s="534"/>
      <c r="H20" s="534"/>
      <c r="I20" s="534"/>
      <c r="J20" s="534"/>
      <c r="K20" s="534"/>
      <c r="L20" s="534"/>
      <c r="M20" s="116"/>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row>
    <row r="21" spans="1:48" ht="15.6" x14ac:dyDescent="0.3">
      <c r="A21" s="26"/>
      <c r="B21" s="38"/>
      <c r="C21" s="116"/>
      <c r="D21" s="38"/>
      <c r="E21" s="374"/>
      <c r="F21" s="374" t="s">
        <v>351</v>
      </c>
      <c r="G21" s="373" t="s">
        <v>76</v>
      </c>
      <c r="H21" s="374"/>
      <c r="I21" s="374"/>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row>
    <row r="22" spans="1:48" ht="12.6" customHeight="1" x14ac:dyDescent="0.3">
      <c r="A22" s="26"/>
      <c r="B22" s="38"/>
      <c r="C22" s="116"/>
      <c r="D22" s="38"/>
      <c r="E22" s="374"/>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row>
    <row r="23" spans="1:48" ht="15.6" x14ac:dyDescent="0.3">
      <c r="A23" s="26"/>
      <c r="B23" s="38"/>
      <c r="C23" s="38"/>
      <c r="D23" s="122"/>
      <c r="E23" s="216"/>
      <c r="F23" s="81"/>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row>
    <row r="24" spans="1:48" ht="15.6" x14ac:dyDescent="0.3">
      <c r="A24" s="26"/>
      <c r="B24" s="38"/>
      <c r="C24" s="83" t="s">
        <v>278</v>
      </c>
      <c r="D24" s="122"/>
      <c r="E24" s="216"/>
      <c r="F24" s="81"/>
      <c r="G24" s="38"/>
      <c r="H24" s="38"/>
      <c r="I24" s="38"/>
      <c r="J24" s="38"/>
      <c r="K24" s="38"/>
      <c r="L24" s="38"/>
      <c r="M24" s="38"/>
      <c r="N24" s="38"/>
      <c r="O24" s="38"/>
      <c r="P24" s="83" t="s">
        <v>278</v>
      </c>
      <c r="Q24" s="38"/>
      <c r="R24" s="38"/>
      <c r="S24" s="38"/>
      <c r="T24" s="38"/>
      <c r="U24" s="38"/>
      <c r="V24" s="38"/>
      <c r="W24" s="38"/>
      <c r="X24" s="38"/>
      <c r="Y24" s="38"/>
      <c r="Z24" s="38"/>
      <c r="AA24" s="38"/>
      <c r="AB24" s="38"/>
      <c r="AC24" s="38"/>
      <c r="AD24" s="38"/>
      <c r="AE24" s="38"/>
      <c r="AF24" s="38"/>
      <c r="AG24" s="38"/>
      <c r="AH24" s="83" t="s">
        <v>278</v>
      </c>
      <c r="AI24" s="38"/>
      <c r="AJ24" s="38"/>
      <c r="AK24" s="38"/>
      <c r="AL24" s="38"/>
      <c r="AM24" s="38"/>
      <c r="AN24" s="38"/>
      <c r="AO24" s="38"/>
      <c r="AP24" s="38"/>
      <c r="AQ24" s="38"/>
      <c r="AR24" s="38"/>
      <c r="AS24" s="38"/>
      <c r="AT24" s="38"/>
      <c r="AU24" s="38"/>
    </row>
    <row r="25" spans="1:48" ht="4.5" customHeight="1" thickBot="1" x14ac:dyDescent="0.35">
      <c r="A25" s="26"/>
      <c r="B25" s="38"/>
      <c r="C25" s="83"/>
      <c r="D25" s="38"/>
      <c r="E25" s="213"/>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row>
    <row r="26" spans="1:48" ht="16.8" thickTop="1" thickBot="1" x14ac:dyDescent="0.35">
      <c r="A26" s="26"/>
      <c r="B26" s="38"/>
      <c r="C26" s="38"/>
      <c r="D26" s="38"/>
      <c r="E26" s="213"/>
      <c r="F26" s="217"/>
      <c r="G26" s="218"/>
      <c r="H26" s="829" t="s">
        <v>301</v>
      </c>
      <c r="I26" s="830"/>
      <c r="J26" s="830"/>
      <c r="K26" s="830"/>
      <c r="L26" s="830"/>
      <c r="M26" s="831"/>
      <c r="N26" s="38"/>
      <c r="O26" s="38"/>
      <c r="P26" s="38"/>
      <c r="Q26" s="820" t="s">
        <v>595</v>
      </c>
      <c r="R26" s="821"/>
      <c r="S26" s="821"/>
      <c r="T26" s="821"/>
      <c r="U26" s="821"/>
      <c r="V26" s="821"/>
      <c r="W26" s="821"/>
      <c r="X26" s="821"/>
      <c r="Y26" s="821"/>
      <c r="Z26" s="821"/>
      <c r="AA26" s="821"/>
      <c r="AB26" s="821"/>
      <c r="AC26" s="821"/>
      <c r="AD26" s="822"/>
      <c r="AE26" s="220"/>
      <c r="AF26" s="38"/>
      <c r="AG26" s="38"/>
      <c r="AH26" s="820" t="s">
        <v>595</v>
      </c>
      <c r="AI26" s="821"/>
      <c r="AJ26" s="821"/>
      <c r="AK26" s="821"/>
      <c r="AL26" s="821"/>
      <c r="AM26" s="821"/>
      <c r="AN26" s="821"/>
      <c r="AO26" s="821"/>
      <c r="AP26" s="821"/>
      <c r="AQ26" s="821"/>
      <c r="AR26" s="821"/>
      <c r="AS26" s="821"/>
      <c r="AT26" s="822"/>
      <c r="AU26" s="288"/>
      <c r="AV26" s="189"/>
    </row>
    <row r="27" spans="1:48" ht="52.95" customHeight="1" thickTop="1" x14ac:dyDescent="0.2">
      <c r="A27" s="26"/>
      <c r="B27" s="38"/>
      <c r="C27" s="577" t="s">
        <v>289</v>
      </c>
      <c r="D27" s="842" t="s">
        <v>581</v>
      </c>
      <c r="E27" s="567" t="s">
        <v>293</v>
      </c>
      <c r="F27" s="592" t="s">
        <v>310</v>
      </c>
      <c r="G27" s="592" t="s">
        <v>608</v>
      </c>
      <c r="H27" s="592" t="s">
        <v>609</v>
      </c>
      <c r="I27" s="592" t="s">
        <v>610</v>
      </c>
      <c r="J27" s="592" t="s">
        <v>611</v>
      </c>
      <c r="K27" s="592" t="s">
        <v>612</v>
      </c>
      <c r="L27" s="592" t="s">
        <v>613</v>
      </c>
      <c r="M27" s="568" t="s">
        <v>614</v>
      </c>
      <c r="N27" s="38"/>
      <c r="O27" s="38"/>
      <c r="P27" s="221" t="s">
        <v>293</v>
      </c>
      <c r="Q27" s="833" t="s">
        <v>294</v>
      </c>
      <c r="R27" s="834"/>
      <c r="S27" s="833" t="s">
        <v>295</v>
      </c>
      <c r="T27" s="834"/>
      <c r="U27" s="834"/>
      <c r="V27" s="835"/>
      <c r="W27" s="833" t="s">
        <v>296</v>
      </c>
      <c r="X27" s="834"/>
      <c r="Y27" s="834"/>
      <c r="Z27" s="835"/>
      <c r="AA27" s="837" t="s">
        <v>297</v>
      </c>
      <c r="AB27" s="838"/>
      <c r="AC27" s="838"/>
      <c r="AD27" s="839"/>
      <c r="AE27" s="223" t="s">
        <v>293</v>
      </c>
      <c r="AF27" s="38"/>
      <c r="AG27" s="38"/>
      <c r="AH27" s="224" t="s">
        <v>293</v>
      </c>
      <c r="AI27" s="823" t="s">
        <v>298</v>
      </c>
      <c r="AJ27" s="824"/>
      <c r="AK27" s="824"/>
      <c r="AL27" s="825"/>
      <c r="AM27" s="796" t="s">
        <v>299</v>
      </c>
      <c r="AN27" s="826"/>
      <c r="AO27" s="826"/>
      <c r="AP27" s="836"/>
      <c r="AQ27" s="795" t="s">
        <v>300</v>
      </c>
      <c r="AR27" s="826"/>
      <c r="AS27" s="826"/>
      <c r="AT27" s="836"/>
      <c r="AU27" s="222"/>
    </row>
    <row r="28" spans="1:48" ht="13.2" x14ac:dyDescent="0.25">
      <c r="A28" s="26"/>
      <c r="B28" s="38"/>
      <c r="C28" s="569"/>
      <c r="D28" s="843"/>
      <c r="E28" s="593"/>
      <c r="F28" s="629" t="str">
        <f>'WK5a - Impact on Rates'!E59</f>
        <v>2017-18</v>
      </c>
      <c r="G28" s="629" t="str">
        <f>'WK5a - Impact on Rates'!F59</f>
        <v>2018-19</v>
      </c>
      <c r="H28" s="629" t="str">
        <f>'WK5a - Impact on Rates'!G59</f>
        <v>2019-20</v>
      </c>
      <c r="I28" s="629" t="str">
        <f>'WK5a - Impact on Rates'!H59</f>
        <v>2020-21</v>
      </c>
      <c r="J28" s="629" t="str">
        <f>'WK5a - Impact on Rates'!I59</f>
        <v>2021-22</v>
      </c>
      <c r="K28" s="629" t="str">
        <f>'WK5a - Impact on Rates'!J59</f>
        <v>2022-23</v>
      </c>
      <c r="L28" s="629" t="str">
        <f>'WK5a - Impact on Rates'!K59</f>
        <v>2023-24</v>
      </c>
      <c r="M28" s="652" t="str">
        <f>'WK5a - Impact on Rates'!L59</f>
        <v>2024-25</v>
      </c>
      <c r="N28" s="38"/>
      <c r="O28" s="38"/>
      <c r="P28" s="225" t="s">
        <v>71</v>
      </c>
      <c r="Q28" s="226" t="s">
        <v>44</v>
      </c>
      <c r="R28" s="227" t="s">
        <v>67</v>
      </c>
      <c r="S28" s="226" t="s">
        <v>44</v>
      </c>
      <c r="T28" s="228" t="s">
        <v>67</v>
      </c>
      <c r="U28" s="229" t="s">
        <v>45</v>
      </c>
      <c r="V28" s="230" t="s">
        <v>67</v>
      </c>
      <c r="W28" s="226" t="s">
        <v>44</v>
      </c>
      <c r="X28" s="231" t="s">
        <v>67</v>
      </c>
      <c r="Y28" s="228" t="s">
        <v>45</v>
      </c>
      <c r="Z28" s="230" t="s">
        <v>67</v>
      </c>
      <c r="AA28" s="229" t="s">
        <v>44</v>
      </c>
      <c r="AB28" s="231" t="s">
        <v>67</v>
      </c>
      <c r="AC28" s="228" t="s">
        <v>45</v>
      </c>
      <c r="AD28" s="232" t="s">
        <v>67</v>
      </c>
      <c r="AE28" s="233"/>
      <c r="AF28" s="38"/>
      <c r="AG28" s="38"/>
      <c r="AH28" s="234" t="s">
        <v>71</v>
      </c>
      <c r="AI28" s="226" t="s">
        <v>44</v>
      </c>
      <c r="AJ28" s="231" t="s">
        <v>67</v>
      </c>
      <c r="AK28" s="228" t="s">
        <v>45</v>
      </c>
      <c r="AL28" s="230" t="s">
        <v>67</v>
      </c>
      <c r="AM28" s="229" t="s">
        <v>44</v>
      </c>
      <c r="AN28" s="231" t="s">
        <v>67</v>
      </c>
      <c r="AO28" s="228" t="s">
        <v>45</v>
      </c>
      <c r="AP28" s="232" t="s">
        <v>67</v>
      </c>
      <c r="AQ28" s="235" t="s">
        <v>44</v>
      </c>
      <c r="AR28" s="231" t="s">
        <v>67</v>
      </c>
      <c r="AS28" s="228" t="s">
        <v>45</v>
      </c>
      <c r="AT28" s="232" t="s">
        <v>67</v>
      </c>
      <c r="AU28" s="308"/>
    </row>
    <row r="29" spans="1:48" ht="13.2" x14ac:dyDescent="0.25">
      <c r="A29" s="26"/>
      <c r="B29" s="38"/>
      <c r="C29" s="570" t="s">
        <v>14</v>
      </c>
      <c r="D29" s="23">
        <v>2450</v>
      </c>
      <c r="E29" s="594">
        <v>50000</v>
      </c>
      <c r="F29" s="23">
        <f>E29*0.5873/100+386</f>
        <v>679.65000000000009</v>
      </c>
      <c r="G29" s="23">
        <f>E29*0.6007/100+395</f>
        <v>695.35</v>
      </c>
      <c r="H29" s="23">
        <f>G29*1.025</f>
        <v>712.73374999999999</v>
      </c>
      <c r="I29" s="23">
        <f>H29*1.025</f>
        <v>730.55209374999993</v>
      </c>
      <c r="J29" s="23">
        <f>I29*1.025</f>
        <v>748.81589609374987</v>
      </c>
      <c r="K29" s="23">
        <f>J29*1.025</f>
        <v>767.53629349609355</v>
      </c>
      <c r="L29" s="23"/>
      <c r="M29" s="23"/>
      <c r="N29" s="38"/>
      <c r="O29" s="38"/>
      <c r="P29" s="236">
        <v>50000</v>
      </c>
      <c r="Q29" s="658">
        <f>IF(G29="","",IF(F29=0,"",G29-F29))</f>
        <v>15.699999999999932</v>
      </c>
      <c r="R29" s="659">
        <f t="shared" ref="R29:R42" si="0">IF(Q29="","",Q29/F29)</f>
        <v>2.3100125064371264E-2</v>
      </c>
      <c r="S29" s="658">
        <f>IF(H29="","",IF(G29=0,"",H29-G29))</f>
        <v>17.383749999999964</v>
      </c>
      <c r="T29" s="660">
        <f t="shared" ref="T29:T42" si="1">IF(S29="","",S29/G29)</f>
        <v>2.4999999999999946E-2</v>
      </c>
      <c r="U29" s="661">
        <f>IF(S29="","",S29+Q29)</f>
        <v>33.083749999999895</v>
      </c>
      <c r="V29" s="662">
        <f t="shared" ref="V29:V42" si="2">IF(T29="","",U29/F29)</f>
        <v>4.8677628190980489E-2</v>
      </c>
      <c r="W29" s="658">
        <f>IF(I29="","",IF(H29=0,"",I29-H29))</f>
        <v>17.81834374999994</v>
      </c>
      <c r="X29" s="659">
        <f t="shared" ref="X29:X42" si="3">IF(W29="","",W29/H29)</f>
        <v>2.4999999999999915E-2</v>
      </c>
      <c r="Y29" s="663">
        <f>IF(W29="","",W29+U29)</f>
        <v>50.902093749999835</v>
      </c>
      <c r="Z29" s="662">
        <f t="shared" ref="Z29:Z42" si="4">IF(X29="","",Y29/F29)</f>
        <v>7.4894568895754909E-2</v>
      </c>
      <c r="AA29" s="661">
        <f>IF(J29="","",IF(I29=0,"",J29-I29))</f>
        <v>18.263802343749944</v>
      </c>
      <c r="AB29" s="659">
        <f t="shared" ref="AB29:AB42" si="5">IF(AA29="","",AA29/I29)</f>
        <v>2.4999999999999925E-2</v>
      </c>
      <c r="AC29" s="663">
        <f>IF(AA29="","",AA29+Y29)</f>
        <v>69.16589609374978</v>
      </c>
      <c r="AD29" s="664">
        <f t="shared" ref="AD29:AD42" si="6">IF(AB29="","",AC29/F29)</f>
        <v>0.1017669331181487</v>
      </c>
      <c r="AE29" s="237">
        <v>50000</v>
      </c>
      <c r="AF29" s="38"/>
      <c r="AG29" s="38"/>
      <c r="AH29" s="238">
        <v>50000</v>
      </c>
      <c r="AI29" s="658">
        <f>IF(K29="","",IF(J29=0,"",K29-J29))</f>
        <v>18.720397402343679</v>
      </c>
      <c r="AJ29" s="660">
        <f t="shared" ref="AJ29:AJ42" si="7">IF(AI29="","",AI29/J29)</f>
        <v>2.4999999999999908E-2</v>
      </c>
      <c r="AK29" s="663">
        <f>IF(AI29="","",AI29+AC29)</f>
        <v>87.886293496093458</v>
      </c>
      <c r="AL29" s="662">
        <f t="shared" ref="AL29:AL42" si="8">IF(AK29="","",AK29/F29)</f>
        <v>0.12931110644610233</v>
      </c>
      <c r="AM29" s="661" t="str">
        <f>IF(L29="","",IF(K29=0,"",L29-K29))</f>
        <v/>
      </c>
      <c r="AN29" s="660" t="str">
        <f t="shared" ref="AN29:AN42" si="9">IF(AM29="","",AM29/K29)</f>
        <v/>
      </c>
      <c r="AO29" s="663" t="str">
        <f>IF(AM29="","",AM29+AK29)</f>
        <v/>
      </c>
      <c r="AP29" s="664" t="str">
        <f t="shared" ref="AP29:AP42" si="10">IF(AO29="","",AO29/F29)</f>
        <v/>
      </c>
      <c r="AQ29" s="658" t="str">
        <f>IF(M29="","",IF(L29=0,"",M29-L29))</f>
        <v/>
      </c>
      <c r="AR29" s="660" t="str">
        <f t="shared" ref="AR29:AR42" si="11">IF(AQ29="","",AQ29/L29)</f>
        <v/>
      </c>
      <c r="AS29" s="663" t="str">
        <f>IF(AQ29="","",AQ29+AO29)</f>
        <v/>
      </c>
      <c r="AT29" s="664" t="str">
        <f t="shared" ref="AT29:AT42" si="12">IF(AS29="","",AS29/F29)</f>
        <v/>
      </c>
      <c r="AU29" s="304"/>
    </row>
    <row r="30" spans="1:48" ht="13.2" x14ac:dyDescent="0.25">
      <c r="A30" s="26"/>
      <c r="B30" s="38"/>
      <c r="C30" s="570" t="s">
        <v>280</v>
      </c>
      <c r="D30" s="174">
        <v>8931</v>
      </c>
      <c r="E30" s="594">
        <v>150000</v>
      </c>
      <c r="F30" s="23">
        <f t="shared" ref="F30:F39" si="13">E30*0.5873/100+386</f>
        <v>1266.95</v>
      </c>
      <c r="G30" s="23">
        <f t="shared" ref="G30:G39" si="14">E30*0.6007/100+395</f>
        <v>1296.05</v>
      </c>
      <c r="H30" s="23">
        <f t="shared" ref="H30:K39" si="15">G30*1.025</f>
        <v>1328.4512499999998</v>
      </c>
      <c r="I30" s="23">
        <f t="shared" si="15"/>
        <v>1361.6625312499998</v>
      </c>
      <c r="J30" s="23">
        <f t="shared" si="15"/>
        <v>1395.7040945312497</v>
      </c>
      <c r="K30" s="23">
        <f t="shared" si="15"/>
        <v>1430.5966968945309</v>
      </c>
      <c r="L30" s="23"/>
      <c r="M30" s="23"/>
      <c r="N30" s="38"/>
      <c r="O30" s="38"/>
      <c r="P30" s="236">
        <v>150000</v>
      </c>
      <c r="Q30" s="658">
        <f t="shared" ref="Q30:Q42" si="16">IF(G30="","",IF(F30=0,"",G30-F30))</f>
        <v>29.099999999999909</v>
      </c>
      <c r="R30" s="659">
        <f t="shared" si="0"/>
        <v>2.2968546509333367E-2</v>
      </c>
      <c r="S30" s="658">
        <f t="shared" ref="S30:S42" si="17">IF(H30="","",IF(G30=0,"",H30-G30))</f>
        <v>32.401249999999891</v>
      </c>
      <c r="T30" s="660">
        <f t="shared" si="1"/>
        <v>2.4999999999999918E-2</v>
      </c>
      <c r="U30" s="661">
        <f t="shared" ref="U30:U42" si="18">IF(S30="","",S30+Q30)</f>
        <v>61.5012499999998</v>
      </c>
      <c r="V30" s="662">
        <f t="shared" si="2"/>
        <v>4.8542760172066615E-2</v>
      </c>
      <c r="W30" s="658">
        <f t="shared" ref="W30:W42" si="19">IF(I30="","",IF(H30=0,"",I30-H30))</f>
        <v>33.211281249999956</v>
      </c>
      <c r="X30" s="659">
        <f t="shared" si="3"/>
        <v>2.499999999999997E-2</v>
      </c>
      <c r="Y30" s="663">
        <f t="shared" ref="Y30:Y42" si="20">IF(W30="","",W30+U30)</f>
        <v>94.712531249999756</v>
      </c>
      <c r="Z30" s="662">
        <f t="shared" si="4"/>
        <v>7.475632917636825E-2</v>
      </c>
      <c r="AA30" s="661">
        <f t="shared" ref="AA30:AA42" si="21">IF(J30="","",IF(I30=0,"",J30-I30))</f>
        <v>34.041563281249864</v>
      </c>
      <c r="AB30" s="659">
        <f t="shared" si="5"/>
        <v>2.4999999999999904E-2</v>
      </c>
      <c r="AC30" s="663">
        <f t="shared" ref="AC30:AC42" si="22">IF(AA30="","",AA30+Y30)</f>
        <v>128.75409453124962</v>
      </c>
      <c r="AD30" s="664">
        <f t="shared" si="6"/>
        <v>0.10162523740577735</v>
      </c>
      <c r="AE30" s="237">
        <v>150000</v>
      </c>
      <c r="AF30" s="38"/>
      <c r="AG30" s="38"/>
      <c r="AH30" s="238">
        <v>150000</v>
      </c>
      <c r="AI30" s="658">
        <f t="shared" ref="AI30:AI42" si="23">IF(K30="","",IF(J30=0,"",K30-J30))</f>
        <v>34.892602363281185</v>
      </c>
      <c r="AJ30" s="660">
        <f t="shared" si="7"/>
        <v>2.499999999999996E-2</v>
      </c>
      <c r="AK30" s="663">
        <f t="shared" ref="AK30:AK42" si="24">IF(AI30="","",AI30+AC30)</f>
        <v>163.64669689453081</v>
      </c>
      <c r="AL30" s="662">
        <f t="shared" si="8"/>
        <v>0.12916586834092175</v>
      </c>
      <c r="AM30" s="661" t="str">
        <f t="shared" ref="AM30:AM42" si="25">IF(L30="","",IF(K30=0,"",L30-K30))</f>
        <v/>
      </c>
      <c r="AN30" s="660" t="str">
        <f t="shared" si="9"/>
        <v/>
      </c>
      <c r="AO30" s="663" t="str">
        <f t="shared" ref="AO30:AO42" si="26">IF(AM30="","",AM30+AK30)</f>
        <v/>
      </c>
      <c r="AP30" s="664" t="str">
        <f t="shared" si="10"/>
        <v/>
      </c>
      <c r="AQ30" s="658" t="str">
        <f t="shared" ref="AQ30:AQ42" si="27">IF(M30="","",IF(L30=0,"",M30-L30))</f>
        <v/>
      </c>
      <c r="AR30" s="660" t="str">
        <f t="shared" si="11"/>
        <v/>
      </c>
      <c r="AS30" s="663" t="str">
        <f t="shared" ref="AS30:AS42" si="28">IF(AQ30="","",AQ30+AO30)</f>
        <v/>
      </c>
      <c r="AT30" s="664" t="str">
        <f t="shared" si="12"/>
        <v/>
      </c>
      <c r="AU30" s="304"/>
    </row>
    <row r="31" spans="1:48" ht="13.2" x14ac:dyDescent="0.25">
      <c r="A31" s="26"/>
      <c r="B31" s="38"/>
      <c r="C31" s="570" t="s">
        <v>281</v>
      </c>
      <c r="D31" s="174">
        <v>1015</v>
      </c>
      <c r="E31" s="594">
        <v>250000</v>
      </c>
      <c r="F31" s="23">
        <f t="shared" si="13"/>
        <v>1854.25</v>
      </c>
      <c r="G31" s="23">
        <f t="shared" si="14"/>
        <v>1896.75</v>
      </c>
      <c r="H31" s="23">
        <f t="shared" si="15"/>
        <v>1944.1687499999998</v>
      </c>
      <c r="I31" s="23">
        <f t="shared" si="15"/>
        <v>1992.7729687499996</v>
      </c>
      <c r="J31" s="23">
        <f t="shared" si="15"/>
        <v>2042.5922929687495</v>
      </c>
      <c r="K31" s="23">
        <f t="shared" si="15"/>
        <v>2093.6571002929682</v>
      </c>
      <c r="L31" s="23"/>
      <c r="M31" s="23"/>
      <c r="N31" s="38"/>
      <c r="O31" s="38"/>
      <c r="P31" s="236">
        <v>250000</v>
      </c>
      <c r="Q31" s="658">
        <f t="shared" si="16"/>
        <v>42.5</v>
      </c>
      <c r="R31" s="659">
        <f t="shared" si="0"/>
        <v>2.2920318187946608E-2</v>
      </c>
      <c r="S31" s="658">
        <f t="shared" si="17"/>
        <v>47.418749999999818</v>
      </c>
      <c r="T31" s="660">
        <f t="shared" si="1"/>
        <v>2.4999999999999904E-2</v>
      </c>
      <c r="U31" s="661">
        <f t="shared" si="18"/>
        <v>89.918749999999818</v>
      </c>
      <c r="V31" s="662">
        <f t="shared" si="2"/>
        <v>4.8493326142645177E-2</v>
      </c>
      <c r="W31" s="658">
        <f t="shared" si="19"/>
        <v>48.604218749999745</v>
      </c>
      <c r="X31" s="659">
        <f t="shared" si="3"/>
        <v>2.4999999999999873E-2</v>
      </c>
      <c r="Y31" s="663">
        <f t="shared" si="20"/>
        <v>138.52296874999956</v>
      </c>
      <c r="Z31" s="662">
        <f t="shared" si="4"/>
        <v>7.4705659296211174E-2</v>
      </c>
      <c r="AA31" s="661">
        <f t="shared" si="21"/>
        <v>49.819324218749898</v>
      </c>
      <c r="AB31" s="659">
        <f t="shared" si="5"/>
        <v>2.4999999999999953E-2</v>
      </c>
      <c r="AC31" s="663">
        <f t="shared" si="22"/>
        <v>188.34229296874946</v>
      </c>
      <c r="AD31" s="664">
        <f t="shared" si="6"/>
        <v>0.1015733007786164</v>
      </c>
      <c r="AE31" s="237">
        <v>250000</v>
      </c>
      <c r="AF31" s="38"/>
      <c r="AG31" s="38"/>
      <c r="AH31" s="238">
        <v>250000</v>
      </c>
      <c r="AI31" s="658">
        <f t="shared" si="23"/>
        <v>51.064807324218691</v>
      </c>
      <c r="AJ31" s="660">
        <f t="shared" si="7"/>
        <v>2.4999999999999977E-2</v>
      </c>
      <c r="AK31" s="663">
        <f t="shared" si="24"/>
        <v>239.40710029296815</v>
      </c>
      <c r="AL31" s="662">
        <f t="shared" si="8"/>
        <v>0.12911263329808179</v>
      </c>
      <c r="AM31" s="661" t="str">
        <f t="shared" si="25"/>
        <v/>
      </c>
      <c r="AN31" s="660" t="str">
        <f t="shared" si="9"/>
        <v/>
      </c>
      <c r="AO31" s="663" t="str">
        <f t="shared" si="26"/>
        <v/>
      </c>
      <c r="AP31" s="664" t="str">
        <f t="shared" si="10"/>
        <v/>
      </c>
      <c r="AQ31" s="658" t="str">
        <f t="shared" si="27"/>
        <v/>
      </c>
      <c r="AR31" s="660" t="str">
        <f t="shared" si="11"/>
        <v/>
      </c>
      <c r="AS31" s="663" t="str">
        <f t="shared" si="28"/>
        <v/>
      </c>
      <c r="AT31" s="664" t="str">
        <f t="shared" si="12"/>
        <v/>
      </c>
      <c r="AU31" s="304"/>
    </row>
    <row r="32" spans="1:48" ht="13.2" x14ac:dyDescent="0.25">
      <c r="A32" s="26"/>
      <c r="B32" s="38"/>
      <c r="C32" s="570" t="s">
        <v>282</v>
      </c>
      <c r="D32" s="174">
        <v>101</v>
      </c>
      <c r="E32" s="594">
        <v>350000</v>
      </c>
      <c r="F32" s="23">
        <f t="shared" si="13"/>
        <v>2441.5500000000002</v>
      </c>
      <c r="G32" s="23">
        <f t="shared" si="14"/>
        <v>2497.4499999999998</v>
      </c>
      <c r="H32" s="23">
        <f t="shared" si="15"/>
        <v>2559.8862499999996</v>
      </c>
      <c r="I32" s="23">
        <f t="shared" si="15"/>
        <v>2623.8834062499991</v>
      </c>
      <c r="J32" s="23">
        <f t="shared" si="15"/>
        <v>2689.4804914062488</v>
      </c>
      <c r="K32" s="23">
        <f t="shared" si="15"/>
        <v>2756.717503691405</v>
      </c>
      <c r="L32" s="23"/>
      <c r="M32" s="571"/>
      <c r="N32" s="38"/>
      <c r="O32" s="38"/>
      <c r="P32" s="236">
        <v>350000</v>
      </c>
      <c r="Q32" s="658">
        <f t="shared" si="16"/>
        <v>55.899999999999636</v>
      </c>
      <c r="R32" s="659">
        <f t="shared" si="0"/>
        <v>2.2895291925211291E-2</v>
      </c>
      <c r="S32" s="658">
        <f t="shared" si="17"/>
        <v>62.436249999999745</v>
      </c>
      <c r="T32" s="660">
        <f t="shared" si="1"/>
        <v>2.4999999999999901E-2</v>
      </c>
      <c r="U32" s="661">
        <f t="shared" si="18"/>
        <v>118.33624999999938</v>
      </c>
      <c r="V32" s="662">
        <f t="shared" si="2"/>
        <v>4.8467674223341473E-2</v>
      </c>
      <c r="W32" s="658">
        <f t="shared" si="19"/>
        <v>63.997156249999534</v>
      </c>
      <c r="X32" s="659">
        <f t="shared" si="3"/>
        <v>2.4999999999999821E-2</v>
      </c>
      <c r="Y32" s="663">
        <f t="shared" si="20"/>
        <v>182.33340624999892</v>
      </c>
      <c r="Z32" s="662">
        <f t="shared" si="4"/>
        <v>7.4679366078924822E-2</v>
      </c>
      <c r="AA32" s="661">
        <f t="shared" si="21"/>
        <v>65.597085156249705</v>
      </c>
      <c r="AB32" s="659">
        <f t="shared" si="5"/>
        <v>2.4999999999999897E-2</v>
      </c>
      <c r="AC32" s="663">
        <f t="shared" si="22"/>
        <v>247.93049140624862</v>
      </c>
      <c r="AD32" s="664">
        <f t="shared" si="6"/>
        <v>0.10154635023089784</v>
      </c>
      <c r="AE32" s="237">
        <v>350000</v>
      </c>
      <c r="AF32" s="38"/>
      <c r="AG32" s="38"/>
      <c r="AH32" s="238">
        <v>350000</v>
      </c>
      <c r="AI32" s="658">
        <f t="shared" si="23"/>
        <v>67.237012285156197</v>
      </c>
      <c r="AJ32" s="660">
        <f t="shared" si="7"/>
        <v>2.4999999999999991E-2</v>
      </c>
      <c r="AK32" s="663">
        <f t="shared" si="24"/>
        <v>315.16750369140482</v>
      </c>
      <c r="AL32" s="662">
        <f t="shared" si="8"/>
        <v>0.12908500898667027</v>
      </c>
      <c r="AM32" s="661" t="str">
        <f t="shared" si="25"/>
        <v/>
      </c>
      <c r="AN32" s="660" t="str">
        <f t="shared" si="9"/>
        <v/>
      </c>
      <c r="AO32" s="663" t="str">
        <f t="shared" si="26"/>
        <v/>
      </c>
      <c r="AP32" s="664" t="str">
        <f t="shared" si="10"/>
        <v/>
      </c>
      <c r="AQ32" s="658" t="str">
        <f t="shared" si="27"/>
        <v/>
      </c>
      <c r="AR32" s="660" t="str">
        <f t="shared" si="11"/>
        <v/>
      </c>
      <c r="AS32" s="663" t="str">
        <f t="shared" si="28"/>
        <v/>
      </c>
      <c r="AT32" s="664" t="str">
        <f t="shared" si="12"/>
        <v/>
      </c>
      <c r="AU32" s="304"/>
    </row>
    <row r="33" spans="1:47" ht="13.2" x14ac:dyDescent="0.25">
      <c r="A33" s="26"/>
      <c r="B33" s="38"/>
      <c r="C33" s="570" t="s">
        <v>283</v>
      </c>
      <c r="D33" s="174">
        <v>18</v>
      </c>
      <c r="E33" s="594">
        <v>450000</v>
      </c>
      <c r="F33" s="23">
        <f t="shared" si="13"/>
        <v>3028.85</v>
      </c>
      <c r="G33" s="23">
        <f t="shared" si="14"/>
        <v>3098.15</v>
      </c>
      <c r="H33" s="23">
        <f t="shared" si="15"/>
        <v>3175.6037499999998</v>
      </c>
      <c r="I33" s="23">
        <f t="shared" si="15"/>
        <v>3254.9938437499995</v>
      </c>
      <c r="J33" s="23">
        <f t="shared" si="15"/>
        <v>3336.3686898437491</v>
      </c>
      <c r="K33" s="23">
        <f t="shared" si="15"/>
        <v>3419.7779070898423</v>
      </c>
      <c r="L33" s="23"/>
      <c r="M33" s="571"/>
      <c r="N33" s="38"/>
      <c r="O33" s="38"/>
      <c r="P33" s="236">
        <v>450000</v>
      </c>
      <c r="Q33" s="658">
        <f t="shared" si="16"/>
        <v>69.300000000000182</v>
      </c>
      <c r="R33" s="659">
        <f t="shared" si="0"/>
        <v>2.2879970946068702E-2</v>
      </c>
      <c r="S33" s="658">
        <f t="shared" si="17"/>
        <v>77.453749999999673</v>
      </c>
      <c r="T33" s="660">
        <f t="shared" si="1"/>
        <v>2.4999999999999894E-2</v>
      </c>
      <c r="U33" s="661">
        <f t="shared" si="18"/>
        <v>146.75374999999985</v>
      </c>
      <c r="V33" s="662">
        <f t="shared" si="2"/>
        <v>4.8451970219720308E-2</v>
      </c>
      <c r="W33" s="658">
        <f t="shared" si="19"/>
        <v>79.390093749999778</v>
      </c>
      <c r="X33" s="659">
        <f t="shared" si="3"/>
        <v>2.4999999999999932E-2</v>
      </c>
      <c r="Y33" s="663">
        <f t="shared" si="20"/>
        <v>226.14384374999963</v>
      </c>
      <c r="Z33" s="662">
        <f t="shared" si="4"/>
        <v>7.4663269475213248E-2</v>
      </c>
      <c r="AA33" s="661">
        <f t="shared" si="21"/>
        <v>81.374846093749511</v>
      </c>
      <c r="AB33" s="659">
        <f t="shared" si="5"/>
        <v>2.4999999999999852E-2</v>
      </c>
      <c r="AC33" s="663">
        <f t="shared" si="22"/>
        <v>307.51868984374914</v>
      </c>
      <c r="AD33" s="664">
        <f t="shared" si="6"/>
        <v>0.10152985121209342</v>
      </c>
      <c r="AE33" s="237">
        <v>450000</v>
      </c>
      <c r="AF33" s="38"/>
      <c r="AG33" s="38"/>
      <c r="AH33" s="238">
        <v>450000</v>
      </c>
      <c r="AI33" s="658">
        <f t="shared" si="23"/>
        <v>83.409217246093249</v>
      </c>
      <c r="AJ33" s="660">
        <f t="shared" si="7"/>
        <v>2.4999999999999856E-2</v>
      </c>
      <c r="AK33" s="663">
        <f t="shared" si="24"/>
        <v>390.92790708984239</v>
      </c>
      <c r="AL33" s="662">
        <f t="shared" si="8"/>
        <v>0.12906809749239559</v>
      </c>
      <c r="AM33" s="661" t="str">
        <f t="shared" si="25"/>
        <v/>
      </c>
      <c r="AN33" s="660" t="str">
        <f t="shared" si="9"/>
        <v/>
      </c>
      <c r="AO33" s="663" t="str">
        <f t="shared" si="26"/>
        <v/>
      </c>
      <c r="AP33" s="664" t="str">
        <f t="shared" si="10"/>
        <v/>
      </c>
      <c r="AQ33" s="658" t="str">
        <f t="shared" si="27"/>
        <v/>
      </c>
      <c r="AR33" s="660" t="str">
        <f t="shared" si="11"/>
        <v/>
      </c>
      <c r="AS33" s="663" t="str">
        <f t="shared" si="28"/>
        <v/>
      </c>
      <c r="AT33" s="664" t="str">
        <f t="shared" si="12"/>
        <v/>
      </c>
      <c r="AU33" s="304"/>
    </row>
    <row r="34" spans="1:47" ht="13.2" x14ac:dyDescent="0.25">
      <c r="A34" s="26"/>
      <c r="B34" s="38"/>
      <c r="C34" s="570" t="s">
        <v>284</v>
      </c>
      <c r="D34" s="174">
        <v>8</v>
      </c>
      <c r="E34" s="594">
        <v>550000</v>
      </c>
      <c r="F34" s="23">
        <f t="shared" si="13"/>
        <v>3616.15</v>
      </c>
      <c r="G34" s="23">
        <f t="shared" si="14"/>
        <v>3698.85</v>
      </c>
      <c r="H34" s="23">
        <f t="shared" si="15"/>
        <v>3791.3212499999995</v>
      </c>
      <c r="I34" s="23">
        <f t="shared" si="15"/>
        <v>3886.1042812499991</v>
      </c>
      <c r="J34" s="23">
        <f t="shared" si="15"/>
        <v>3983.2568882812488</v>
      </c>
      <c r="K34" s="23">
        <f t="shared" si="15"/>
        <v>4082.8383104882796</v>
      </c>
      <c r="L34" s="23"/>
      <c r="M34" s="571"/>
      <c r="N34" s="38"/>
      <c r="O34" s="38"/>
      <c r="P34" s="236">
        <v>550000</v>
      </c>
      <c r="Q34" s="658">
        <f t="shared" si="16"/>
        <v>82.699999999999818</v>
      </c>
      <c r="R34" s="659">
        <f t="shared" si="0"/>
        <v>2.2869626536509775E-2</v>
      </c>
      <c r="S34" s="658">
        <f t="shared" si="17"/>
        <v>92.4712499999996</v>
      </c>
      <c r="T34" s="660">
        <f t="shared" si="1"/>
        <v>2.4999999999999894E-2</v>
      </c>
      <c r="U34" s="661">
        <f t="shared" si="18"/>
        <v>175.17124999999942</v>
      </c>
      <c r="V34" s="662">
        <f t="shared" si="2"/>
        <v>4.8441367199922404E-2</v>
      </c>
      <c r="W34" s="658">
        <f t="shared" si="19"/>
        <v>94.783031249999567</v>
      </c>
      <c r="X34" s="659">
        <f t="shared" si="3"/>
        <v>2.499999999999989E-2</v>
      </c>
      <c r="Y34" s="663">
        <f t="shared" si="20"/>
        <v>269.95428124999899</v>
      </c>
      <c r="Z34" s="662">
        <f t="shared" si="4"/>
        <v>7.4652401379920352E-2</v>
      </c>
      <c r="AA34" s="661">
        <f t="shared" si="21"/>
        <v>97.152607031249772</v>
      </c>
      <c r="AB34" s="659">
        <f t="shared" si="5"/>
        <v>2.4999999999999946E-2</v>
      </c>
      <c r="AC34" s="663">
        <f t="shared" si="22"/>
        <v>367.10688828124876</v>
      </c>
      <c r="AD34" s="664">
        <f t="shared" si="6"/>
        <v>0.1015187114144183</v>
      </c>
      <c r="AE34" s="237">
        <v>550000</v>
      </c>
      <c r="AF34" s="38"/>
      <c r="AG34" s="38"/>
      <c r="AH34" s="238">
        <v>550000</v>
      </c>
      <c r="AI34" s="658">
        <f t="shared" si="23"/>
        <v>99.581422207030755</v>
      </c>
      <c r="AJ34" s="660">
        <f t="shared" si="7"/>
        <v>2.4999999999999883E-2</v>
      </c>
      <c r="AK34" s="663">
        <f t="shared" si="24"/>
        <v>466.68831048827951</v>
      </c>
      <c r="AL34" s="662">
        <f t="shared" si="8"/>
        <v>0.12905667919977865</v>
      </c>
      <c r="AM34" s="661" t="str">
        <f t="shared" si="25"/>
        <v/>
      </c>
      <c r="AN34" s="660" t="str">
        <f t="shared" si="9"/>
        <v/>
      </c>
      <c r="AO34" s="663" t="str">
        <f t="shared" si="26"/>
        <v/>
      </c>
      <c r="AP34" s="664" t="str">
        <f t="shared" si="10"/>
        <v/>
      </c>
      <c r="AQ34" s="658" t="str">
        <f t="shared" si="27"/>
        <v/>
      </c>
      <c r="AR34" s="660" t="str">
        <f t="shared" si="11"/>
        <v/>
      </c>
      <c r="AS34" s="663" t="str">
        <f t="shared" si="28"/>
        <v/>
      </c>
      <c r="AT34" s="664" t="str">
        <f t="shared" si="12"/>
        <v/>
      </c>
      <c r="AU34" s="304"/>
    </row>
    <row r="35" spans="1:47" ht="13.2" x14ac:dyDescent="0.25">
      <c r="A35" s="26"/>
      <c r="B35" s="38"/>
      <c r="C35" s="570" t="s">
        <v>285</v>
      </c>
      <c r="D35" s="174">
        <v>2</v>
      </c>
      <c r="E35" s="594">
        <v>650000</v>
      </c>
      <c r="F35" s="23">
        <f t="shared" si="13"/>
        <v>4203.45</v>
      </c>
      <c r="G35" s="23">
        <f t="shared" si="14"/>
        <v>4299.55</v>
      </c>
      <c r="H35" s="23">
        <f t="shared" si="15"/>
        <v>4407.0387499999997</v>
      </c>
      <c r="I35" s="23">
        <f t="shared" si="15"/>
        <v>4517.2147187499995</v>
      </c>
      <c r="J35" s="23">
        <f t="shared" si="15"/>
        <v>4630.1450867187496</v>
      </c>
      <c r="K35" s="23">
        <f t="shared" si="15"/>
        <v>4745.8987138867178</v>
      </c>
      <c r="L35" s="23"/>
      <c r="M35" s="571"/>
      <c r="N35" s="38"/>
      <c r="O35" s="38"/>
      <c r="P35" s="236">
        <v>650000</v>
      </c>
      <c r="Q35" s="658">
        <f t="shared" si="16"/>
        <v>96.100000000000364</v>
      </c>
      <c r="R35" s="659">
        <f t="shared" si="0"/>
        <v>2.2862172739059671E-2</v>
      </c>
      <c r="S35" s="658">
        <f t="shared" si="17"/>
        <v>107.48874999999953</v>
      </c>
      <c r="T35" s="660">
        <f t="shared" si="1"/>
        <v>2.499999999999989E-2</v>
      </c>
      <c r="U35" s="661">
        <f t="shared" si="18"/>
        <v>203.58874999999989</v>
      </c>
      <c r="V35" s="662">
        <f t="shared" si="2"/>
        <v>4.8433727057536048E-2</v>
      </c>
      <c r="W35" s="658">
        <f t="shared" si="19"/>
        <v>110.17596874999981</v>
      </c>
      <c r="X35" s="659">
        <f t="shared" si="3"/>
        <v>2.499999999999996E-2</v>
      </c>
      <c r="Y35" s="663">
        <f t="shared" si="20"/>
        <v>313.7647187499997</v>
      </c>
      <c r="Z35" s="662">
        <f t="shared" si="4"/>
        <v>7.4644570233974403E-2</v>
      </c>
      <c r="AA35" s="661">
        <f t="shared" si="21"/>
        <v>112.93036796875003</v>
      </c>
      <c r="AB35" s="659">
        <f t="shared" si="5"/>
        <v>2.5000000000000012E-2</v>
      </c>
      <c r="AC35" s="663">
        <f t="shared" si="22"/>
        <v>426.69508671874974</v>
      </c>
      <c r="AD35" s="664">
        <f t="shared" si="6"/>
        <v>0.10151068448982378</v>
      </c>
      <c r="AE35" s="237">
        <v>650000</v>
      </c>
      <c r="AF35" s="38"/>
      <c r="AG35" s="38"/>
      <c r="AH35" s="238">
        <v>650000</v>
      </c>
      <c r="AI35" s="658">
        <f t="shared" si="23"/>
        <v>115.75362716796826</v>
      </c>
      <c r="AJ35" s="660">
        <f t="shared" si="7"/>
        <v>2.4999999999999897E-2</v>
      </c>
      <c r="AK35" s="663">
        <f t="shared" si="24"/>
        <v>542.448713886718</v>
      </c>
      <c r="AL35" s="662">
        <f t="shared" si="8"/>
        <v>0.12904845160206926</v>
      </c>
      <c r="AM35" s="661" t="str">
        <f t="shared" si="25"/>
        <v/>
      </c>
      <c r="AN35" s="660" t="str">
        <f t="shared" si="9"/>
        <v/>
      </c>
      <c r="AO35" s="663" t="str">
        <f t="shared" si="26"/>
        <v/>
      </c>
      <c r="AP35" s="664" t="str">
        <f t="shared" si="10"/>
        <v/>
      </c>
      <c r="AQ35" s="658" t="str">
        <f t="shared" si="27"/>
        <v/>
      </c>
      <c r="AR35" s="660" t="str">
        <f t="shared" si="11"/>
        <v/>
      </c>
      <c r="AS35" s="663" t="str">
        <f t="shared" si="28"/>
        <v/>
      </c>
      <c r="AT35" s="664" t="str">
        <f t="shared" si="12"/>
        <v/>
      </c>
      <c r="AU35" s="304"/>
    </row>
    <row r="36" spans="1:47" ht="13.2" x14ac:dyDescent="0.25">
      <c r="A36" s="26"/>
      <c r="B36" s="38"/>
      <c r="C36" s="570" t="s">
        <v>286</v>
      </c>
      <c r="D36" s="174">
        <v>0</v>
      </c>
      <c r="E36" s="594">
        <v>750000</v>
      </c>
      <c r="F36" s="23">
        <f t="shared" si="13"/>
        <v>4790.7500000000009</v>
      </c>
      <c r="G36" s="23">
        <f t="shared" si="14"/>
        <v>4900.25</v>
      </c>
      <c r="H36" s="23">
        <f t="shared" si="15"/>
        <v>5022.7562499999995</v>
      </c>
      <c r="I36" s="23">
        <f t="shared" si="15"/>
        <v>5148.3251562499991</v>
      </c>
      <c r="J36" s="23">
        <f t="shared" si="15"/>
        <v>5277.0332851562489</v>
      </c>
      <c r="K36" s="23">
        <f t="shared" si="15"/>
        <v>5408.9591172851542</v>
      </c>
      <c r="L36" s="23"/>
      <c r="M36" s="571"/>
      <c r="N36" s="38"/>
      <c r="O36" s="38"/>
      <c r="P36" s="236">
        <v>750000</v>
      </c>
      <c r="Q36" s="658">
        <f t="shared" si="16"/>
        <v>109.49999999999909</v>
      </c>
      <c r="R36" s="659">
        <f t="shared" si="0"/>
        <v>2.2856546469759237E-2</v>
      </c>
      <c r="S36" s="658">
        <f t="shared" si="17"/>
        <v>122.50624999999945</v>
      </c>
      <c r="T36" s="660">
        <f t="shared" si="1"/>
        <v>2.499999999999989E-2</v>
      </c>
      <c r="U36" s="661">
        <f t="shared" si="18"/>
        <v>232.00624999999854</v>
      </c>
      <c r="V36" s="662">
        <f t="shared" si="2"/>
        <v>4.8427960131503106E-2</v>
      </c>
      <c r="W36" s="658">
        <f t="shared" si="19"/>
        <v>125.5689062499996</v>
      </c>
      <c r="X36" s="659">
        <f t="shared" si="3"/>
        <v>2.4999999999999922E-2</v>
      </c>
      <c r="Y36" s="663">
        <f t="shared" si="20"/>
        <v>357.57515624999814</v>
      </c>
      <c r="Z36" s="662">
        <f t="shared" si="4"/>
        <v>7.4638659134790605E-2</v>
      </c>
      <c r="AA36" s="661">
        <f t="shared" si="21"/>
        <v>128.70812890624984</v>
      </c>
      <c r="AB36" s="659">
        <f t="shared" si="5"/>
        <v>2.4999999999999974E-2</v>
      </c>
      <c r="AC36" s="663">
        <f t="shared" si="22"/>
        <v>486.28328515624798</v>
      </c>
      <c r="AD36" s="664">
        <f t="shared" si="6"/>
        <v>0.10150462561316034</v>
      </c>
      <c r="AE36" s="237">
        <v>750000</v>
      </c>
      <c r="AF36" s="38"/>
      <c r="AG36" s="38"/>
      <c r="AH36" s="238">
        <v>750000</v>
      </c>
      <c r="AI36" s="658">
        <f t="shared" si="23"/>
        <v>131.92583212890531</v>
      </c>
      <c r="AJ36" s="660">
        <f t="shared" si="7"/>
        <v>2.4999999999999828E-2</v>
      </c>
      <c r="AK36" s="663">
        <f t="shared" si="24"/>
        <v>618.2091172851533</v>
      </c>
      <c r="AL36" s="662">
        <f t="shared" si="8"/>
        <v>0.12904224125348915</v>
      </c>
      <c r="AM36" s="661" t="str">
        <f t="shared" si="25"/>
        <v/>
      </c>
      <c r="AN36" s="660" t="str">
        <f t="shared" si="9"/>
        <v/>
      </c>
      <c r="AO36" s="663" t="str">
        <f t="shared" si="26"/>
        <v/>
      </c>
      <c r="AP36" s="664" t="str">
        <f t="shared" si="10"/>
        <v/>
      </c>
      <c r="AQ36" s="658" t="str">
        <f t="shared" si="27"/>
        <v/>
      </c>
      <c r="AR36" s="660" t="str">
        <f t="shared" si="11"/>
        <v/>
      </c>
      <c r="AS36" s="663" t="str">
        <f t="shared" si="28"/>
        <v/>
      </c>
      <c r="AT36" s="664" t="str">
        <f t="shared" si="12"/>
        <v/>
      </c>
      <c r="AU36" s="304"/>
    </row>
    <row r="37" spans="1:47" ht="13.2" x14ac:dyDescent="0.25">
      <c r="A37" s="26"/>
      <c r="B37" s="38"/>
      <c r="C37" s="570" t="s">
        <v>287</v>
      </c>
      <c r="D37" s="174">
        <v>3</v>
      </c>
      <c r="E37" s="594">
        <v>850000</v>
      </c>
      <c r="F37" s="23">
        <f t="shared" si="13"/>
        <v>5378.05</v>
      </c>
      <c r="G37" s="23">
        <f t="shared" si="14"/>
        <v>5500.95</v>
      </c>
      <c r="H37" s="23">
        <f t="shared" si="15"/>
        <v>5638.4737499999992</v>
      </c>
      <c r="I37" s="23">
        <f t="shared" si="15"/>
        <v>5779.4355937499986</v>
      </c>
      <c r="J37" s="23">
        <f t="shared" si="15"/>
        <v>5923.9214835937482</v>
      </c>
      <c r="K37" s="23">
        <f t="shared" si="15"/>
        <v>6072.0195206835915</v>
      </c>
      <c r="L37" s="23"/>
      <c r="M37" s="571"/>
      <c r="N37" s="38"/>
      <c r="O37" s="38"/>
      <c r="P37" s="236">
        <v>850000</v>
      </c>
      <c r="Q37" s="658">
        <f t="shared" si="16"/>
        <v>122.89999999999964</v>
      </c>
      <c r="R37" s="659">
        <f t="shared" si="0"/>
        <v>2.2852149013118068E-2</v>
      </c>
      <c r="S37" s="658">
        <f t="shared" si="17"/>
        <v>137.52374999999938</v>
      </c>
      <c r="T37" s="660">
        <f t="shared" si="1"/>
        <v>2.4999999999999887E-2</v>
      </c>
      <c r="U37" s="661">
        <f t="shared" si="18"/>
        <v>260.42374999999902</v>
      </c>
      <c r="V37" s="662">
        <f t="shared" si="2"/>
        <v>4.8423452738445907E-2</v>
      </c>
      <c r="W37" s="658">
        <f t="shared" si="19"/>
        <v>140.96184374999939</v>
      </c>
      <c r="X37" s="659">
        <f t="shared" si="3"/>
        <v>2.4999999999999894E-2</v>
      </c>
      <c r="Y37" s="663">
        <f t="shared" si="20"/>
        <v>401.38559374999841</v>
      </c>
      <c r="Z37" s="662">
        <f t="shared" si="4"/>
        <v>7.4634039056906951E-2</v>
      </c>
      <c r="AA37" s="661">
        <f t="shared" si="21"/>
        <v>144.48588984374965</v>
      </c>
      <c r="AB37" s="659">
        <f t="shared" si="5"/>
        <v>2.4999999999999946E-2</v>
      </c>
      <c r="AC37" s="663">
        <f t="shared" si="22"/>
        <v>545.87148359374805</v>
      </c>
      <c r="AD37" s="664">
        <f t="shared" si="6"/>
        <v>0.10149989003332956</v>
      </c>
      <c r="AE37" s="237">
        <v>850000</v>
      </c>
      <c r="AF37" s="38"/>
      <c r="AG37" s="38"/>
      <c r="AH37" s="238">
        <v>850000</v>
      </c>
      <c r="AI37" s="658">
        <f t="shared" si="23"/>
        <v>148.09803708984327</v>
      </c>
      <c r="AJ37" s="660">
        <f t="shared" si="7"/>
        <v>2.4999999999999929E-2</v>
      </c>
      <c r="AK37" s="663">
        <f t="shared" si="24"/>
        <v>693.96952068359133</v>
      </c>
      <c r="AL37" s="662">
        <f t="shared" si="8"/>
        <v>0.12903738728416272</v>
      </c>
      <c r="AM37" s="661" t="str">
        <f t="shared" si="25"/>
        <v/>
      </c>
      <c r="AN37" s="660" t="str">
        <f t="shared" si="9"/>
        <v/>
      </c>
      <c r="AO37" s="663" t="str">
        <f t="shared" si="26"/>
        <v/>
      </c>
      <c r="AP37" s="664" t="str">
        <f t="shared" si="10"/>
        <v/>
      </c>
      <c r="AQ37" s="658" t="str">
        <f t="shared" si="27"/>
        <v/>
      </c>
      <c r="AR37" s="660" t="str">
        <f t="shared" si="11"/>
        <v/>
      </c>
      <c r="AS37" s="663" t="str">
        <f t="shared" si="28"/>
        <v/>
      </c>
      <c r="AT37" s="664" t="str">
        <f t="shared" si="12"/>
        <v/>
      </c>
      <c r="AU37" s="304"/>
    </row>
    <row r="38" spans="1:47" ht="13.2" x14ac:dyDescent="0.25">
      <c r="A38" s="26"/>
      <c r="B38" s="38"/>
      <c r="C38" s="570" t="s">
        <v>288</v>
      </c>
      <c r="D38" s="174">
        <v>1</v>
      </c>
      <c r="E38" s="594">
        <v>950000</v>
      </c>
      <c r="F38" s="23">
        <f t="shared" si="13"/>
        <v>5965.35</v>
      </c>
      <c r="G38" s="23">
        <f t="shared" si="14"/>
        <v>6101.65</v>
      </c>
      <c r="H38" s="23">
        <f t="shared" si="15"/>
        <v>6254.1912499999989</v>
      </c>
      <c r="I38" s="23">
        <f t="shared" si="15"/>
        <v>6410.5460312499981</v>
      </c>
      <c r="J38" s="23">
        <f t="shared" si="15"/>
        <v>6570.8096820312476</v>
      </c>
      <c r="K38" s="23">
        <f t="shared" si="15"/>
        <v>6735.0799240820279</v>
      </c>
      <c r="L38" s="23"/>
      <c r="M38" s="571"/>
      <c r="N38" s="38"/>
      <c r="O38" s="38"/>
      <c r="P38" s="236">
        <v>950000</v>
      </c>
      <c r="Q38" s="658">
        <f t="shared" si="16"/>
        <v>136.29999999999927</v>
      </c>
      <c r="R38" s="659">
        <f t="shared" si="0"/>
        <v>2.2848617432338299E-2</v>
      </c>
      <c r="S38" s="658">
        <f t="shared" si="17"/>
        <v>152.54124999999931</v>
      </c>
      <c r="T38" s="660">
        <f t="shared" si="1"/>
        <v>2.4999999999999887E-2</v>
      </c>
      <c r="U38" s="661">
        <f t="shared" si="18"/>
        <v>288.84124999999858</v>
      </c>
      <c r="V38" s="662">
        <f t="shared" si="2"/>
        <v>4.8419832868146641E-2</v>
      </c>
      <c r="W38" s="658">
        <f t="shared" si="19"/>
        <v>156.35478124999918</v>
      </c>
      <c r="X38" s="659">
        <f t="shared" si="3"/>
        <v>2.4999999999999873E-2</v>
      </c>
      <c r="Y38" s="663">
        <f t="shared" si="20"/>
        <v>445.19603124999776</v>
      </c>
      <c r="Z38" s="662">
        <f t="shared" si="4"/>
        <v>7.4630328689850173E-2</v>
      </c>
      <c r="AA38" s="661">
        <f t="shared" si="21"/>
        <v>160.26365078124945</v>
      </c>
      <c r="AB38" s="659">
        <f t="shared" si="5"/>
        <v>2.4999999999999922E-2</v>
      </c>
      <c r="AC38" s="663">
        <f t="shared" si="22"/>
        <v>605.45968203124721</v>
      </c>
      <c r="AD38" s="664">
        <f t="shared" si="6"/>
        <v>0.10149608690709634</v>
      </c>
      <c r="AE38" s="237">
        <v>950000</v>
      </c>
      <c r="AF38" s="38"/>
      <c r="AG38" s="38"/>
      <c r="AH38" s="238">
        <v>950000</v>
      </c>
      <c r="AI38" s="658">
        <f t="shared" si="23"/>
        <v>164.27024205078033</v>
      </c>
      <c r="AJ38" s="660">
        <f t="shared" si="7"/>
        <v>2.499999999999987E-2</v>
      </c>
      <c r="AK38" s="663">
        <f t="shared" si="24"/>
        <v>769.72992408202754</v>
      </c>
      <c r="AL38" s="662">
        <f t="shared" si="8"/>
        <v>0.12903348907977361</v>
      </c>
      <c r="AM38" s="661" t="str">
        <f t="shared" si="25"/>
        <v/>
      </c>
      <c r="AN38" s="660" t="str">
        <f t="shared" si="9"/>
        <v/>
      </c>
      <c r="AO38" s="663" t="str">
        <f t="shared" si="26"/>
        <v/>
      </c>
      <c r="AP38" s="664" t="str">
        <f t="shared" si="10"/>
        <v/>
      </c>
      <c r="AQ38" s="658" t="str">
        <f t="shared" si="27"/>
        <v/>
      </c>
      <c r="AR38" s="660" t="str">
        <f t="shared" si="11"/>
        <v/>
      </c>
      <c r="AS38" s="663" t="str">
        <f t="shared" si="28"/>
        <v/>
      </c>
      <c r="AT38" s="664" t="str">
        <f t="shared" si="12"/>
        <v/>
      </c>
      <c r="AU38" s="304"/>
    </row>
    <row r="39" spans="1:47" ht="13.2" x14ac:dyDescent="0.25">
      <c r="A39" s="26"/>
      <c r="B39" s="38"/>
      <c r="C39" s="570" t="s">
        <v>290</v>
      </c>
      <c r="D39" s="174">
        <v>6</v>
      </c>
      <c r="E39" s="594">
        <v>1250000</v>
      </c>
      <c r="F39" s="23">
        <f t="shared" si="13"/>
        <v>7727.25</v>
      </c>
      <c r="G39" s="23">
        <f t="shared" si="14"/>
        <v>7903.75</v>
      </c>
      <c r="H39" s="23">
        <f t="shared" si="15"/>
        <v>8101.3437499999991</v>
      </c>
      <c r="I39" s="23">
        <f t="shared" si="15"/>
        <v>8303.8773437499985</v>
      </c>
      <c r="J39" s="23">
        <f t="shared" si="15"/>
        <v>8511.4742773437483</v>
      </c>
      <c r="K39" s="23">
        <f t="shared" si="15"/>
        <v>8724.2611342773416</v>
      </c>
      <c r="L39" s="23"/>
      <c r="M39" s="571"/>
      <c r="N39" s="38"/>
      <c r="O39" s="38"/>
      <c r="P39" s="236">
        <v>1250000</v>
      </c>
      <c r="Q39" s="658">
        <f t="shared" si="16"/>
        <v>176.5</v>
      </c>
      <c r="R39" s="659">
        <f t="shared" si="0"/>
        <v>2.284124365071662E-2</v>
      </c>
      <c r="S39" s="658">
        <f t="shared" si="17"/>
        <v>197.59374999999909</v>
      </c>
      <c r="T39" s="660">
        <f t="shared" si="1"/>
        <v>2.4999999999999883E-2</v>
      </c>
      <c r="U39" s="661">
        <f t="shared" si="18"/>
        <v>374.09374999999909</v>
      </c>
      <c r="V39" s="662">
        <f t="shared" si="2"/>
        <v>4.8412274741984417E-2</v>
      </c>
      <c r="W39" s="658">
        <f t="shared" si="19"/>
        <v>202.53359374999945</v>
      </c>
      <c r="X39" s="659">
        <f t="shared" si="3"/>
        <v>2.4999999999999935E-2</v>
      </c>
      <c r="Y39" s="663">
        <f t="shared" si="20"/>
        <v>576.62734374999854</v>
      </c>
      <c r="Z39" s="662">
        <f t="shared" si="4"/>
        <v>7.4622581610533964E-2</v>
      </c>
      <c r="AA39" s="661">
        <f t="shared" si="21"/>
        <v>207.59693359374978</v>
      </c>
      <c r="AB39" s="659">
        <f t="shared" si="5"/>
        <v>2.4999999999999977E-2</v>
      </c>
      <c r="AC39" s="663">
        <f t="shared" si="22"/>
        <v>784.22427734374833</v>
      </c>
      <c r="AD39" s="664">
        <f t="shared" si="6"/>
        <v>0.10148814615079729</v>
      </c>
      <c r="AE39" s="237">
        <v>1250000</v>
      </c>
      <c r="AF39" s="38"/>
      <c r="AG39" s="38"/>
      <c r="AH39" s="238">
        <v>1250000</v>
      </c>
      <c r="AI39" s="658">
        <f t="shared" si="23"/>
        <v>212.7868569335933</v>
      </c>
      <c r="AJ39" s="660">
        <f t="shared" si="7"/>
        <v>2.4999999999999953E-2</v>
      </c>
      <c r="AK39" s="663">
        <f t="shared" si="24"/>
        <v>997.01113427734163</v>
      </c>
      <c r="AL39" s="662">
        <f t="shared" si="8"/>
        <v>0.12902534980456717</v>
      </c>
      <c r="AM39" s="661" t="str">
        <f t="shared" si="25"/>
        <v/>
      </c>
      <c r="AN39" s="660" t="str">
        <f t="shared" si="9"/>
        <v/>
      </c>
      <c r="AO39" s="663" t="str">
        <f t="shared" si="26"/>
        <v/>
      </c>
      <c r="AP39" s="664" t="str">
        <f t="shared" si="10"/>
        <v/>
      </c>
      <c r="AQ39" s="658" t="str">
        <f t="shared" si="27"/>
        <v/>
      </c>
      <c r="AR39" s="660" t="str">
        <f t="shared" si="11"/>
        <v/>
      </c>
      <c r="AS39" s="663" t="str">
        <f t="shared" si="28"/>
        <v/>
      </c>
      <c r="AT39" s="664" t="str">
        <f t="shared" si="12"/>
        <v/>
      </c>
      <c r="AU39" s="304"/>
    </row>
    <row r="40" spans="1:47" ht="13.2" x14ac:dyDescent="0.25">
      <c r="A40" s="26"/>
      <c r="B40" s="38"/>
      <c r="C40" s="570" t="s">
        <v>291</v>
      </c>
      <c r="D40" s="174"/>
      <c r="E40" s="594">
        <v>1750000</v>
      </c>
      <c r="F40" s="23"/>
      <c r="G40" s="23"/>
      <c r="H40" s="23"/>
      <c r="I40" s="23"/>
      <c r="J40" s="23"/>
      <c r="K40" s="23"/>
      <c r="L40" s="23"/>
      <c r="M40" s="571"/>
      <c r="N40" s="38"/>
      <c r="O40" s="38"/>
      <c r="P40" s="236">
        <v>1750000</v>
      </c>
      <c r="Q40" s="658" t="str">
        <f t="shared" si="16"/>
        <v/>
      </c>
      <c r="R40" s="659" t="str">
        <f t="shared" si="0"/>
        <v/>
      </c>
      <c r="S40" s="658" t="str">
        <f t="shared" si="17"/>
        <v/>
      </c>
      <c r="T40" s="660" t="str">
        <f t="shared" si="1"/>
        <v/>
      </c>
      <c r="U40" s="661" t="str">
        <f t="shared" si="18"/>
        <v/>
      </c>
      <c r="V40" s="662" t="str">
        <f t="shared" si="2"/>
        <v/>
      </c>
      <c r="W40" s="658" t="str">
        <f t="shared" si="19"/>
        <v/>
      </c>
      <c r="X40" s="659" t="str">
        <f t="shared" si="3"/>
        <v/>
      </c>
      <c r="Y40" s="663" t="str">
        <f t="shared" si="20"/>
        <v/>
      </c>
      <c r="Z40" s="662" t="str">
        <f t="shared" si="4"/>
        <v/>
      </c>
      <c r="AA40" s="661" t="str">
        <f t="shared" si="21"/>
        <v/>
      </c>
      <c r="AB40" s="659" t="str">
        <f t="shared" si="5"/>
        <v/>
      </c>
      <c r="AC40" s="663" t="str">
        <f t="shared" si="22"/>
        <v/>
      </c>
      <c r="AD40" s="664" t="str">
        <f t="shared" si="6"/>
        <v/>
      </c>
      <c r="AE40" s="237">
        <v>1750000</v>
      </c>
      <c r="AF40" s="38"/>
      <c r="AG40" s="38"/>
      <c r="AH40" s="238">
        <v>1750000</v>
      </c>
      <c r="AI40" s="658" t="str">
        <f t="shared" si="23"/>
        <v/>
      </c>
      <c r="AJ40" s="660" t="str">
        <f t="shared" si="7"/>
        <v/>
      </c>
      <c r="AK40" s="663" t="str">
        <f t="shared" si="24"/>
        <v/>
      </c>
      <c r="AL40" s="662" t="str">
        <f t="shared" si="8"/>
        <v/>
      </c>
      <c r="AM40" s="661" t="str">
        <f t="shared" si="25"/>
        <v/>
      </c>
      <c r="AN40" s="660" t="str">
        <f t="shared" si="9"/>
        <v/>
      </c>
      <c r="AO40" s="663" t="str">
        <f t="shared" si="26"/>
        <v/>
      </c>
      <c r="AP40" s="664" t="str">
        <f t="shared" si="10"/>
        <v/>
      </c>
      <c r="AQ40" s="658" t="str">
        <f t="shared" si="27"/>
        <v/>
      </c>
      <c r="AR40" s="660" t="str">
        <f t="shared" si="11"/>
        <v/>
      </c>
      <c r="AS40" s="663" t="str">
        <f t="shared" si="28"/>
        <v/>
      </c>
      <c r="AT40" s="664" t="str">
        <f t="shared" si="12"/>
        <v/>
      </c>
      <c r="AU40" s="304"/>
    </row>
    <row r="41" spans="1:47" ht="13.2" x14ac:dyDescent="0.25">
      <c r="A41" s="26"/>
      <c r="B41" s="38"/>
      <c r="C41" s="570" t="s">
        <v>292</v>
      </c>
      <c r="D41" s="174"/>
      <c r="E41" s="594">
        <v>2500000</v>
      </c>
      <c r="F41" s="23"/>
      <c r="G41" s="23"/>
      <c r="H41" s="23"/>
      <c r="I41" s="23"/>
      <c r="J41" s="23"/>
      <c r="K41" s="23"/>
      <c r="L41" s="23"/>
      <c r="M41" s="571"/>
      <c r="N41" s="38"/>
      <c r="O41" s="38"/>
      <c r="P41" s="236">
        <v>2500000</v>
      </c>
      <c r="Q41" s="658" t="str">
        <f t="shared" si="16"/>
        <v/>
      </c>
      <c r="R41" s="659" t="str">
        <f t="shared" si="0"/>
        <v/>
      </c>
      <c r="S41" s="658" t="str">
        <f t="shared" si="17"/>
        <v/>
      </c>
      <c r="T41" s="660" t="str">
        <f t="shared" si="1"/>
        <v/>
      </c>
      <c r="U41" s="661" t="str">
        <f t="shared" si="18"/>
        <v/>
      </c>
      <c r="V41" s="662" t="str">
        <f t="shared" si="2"/>
        <v/>
      </c>
      <c r="W41" s="658" t="str">
        <f t="shared" si="19"/>
        <v/>
      </c>
      <c r="X41" s="659" t="str">
        <f t="shared" si="3"/>
        <v/>
      </c>
      <c r="Y41" s="663" t="str">
        <f t="shared" si="20"/>
        <v/>
      </c>
      <c r="Z41" s="662" t="str">
        <f t="shared" si="4"/>
        <v/>
      </c>
      <c r="AA41" s="661" t="str">
        <f t="shared" si="21"/>
        <v/>
      </c>
      <c r="AB41" s="659" t="str">
        <f t="shared" si="5"/>
        <v/>
      </c>
      <c r="AC41" s="663" t="str">
        <f t="shared" si="22"/>
        <v/>
      </c>
      <c r="AD41" s="664" t="str">
        <f t="shared" si="6"/>
        <v/>
      </c>
      <c r="AE41" s="237">
        <v>2500000</v>
      </c>
      <c r="AF41" s="38"/>
      <c r="AG41" s="38"/>
      <c r="AH41" s="238">
        <v>2500000</v>
      </c>
      <c r="AI41" s="658" t="str">
        <f t="shared" si="23"/>
        <v/>
      </c>
      <c r="AJ41" s="660" t="str">
        <f t="shared" si="7"/>
        <v/>
      </c>
      <c r="AK41" s="663" t="str">
        <f t="shared" si="24"/>
        <v/>
      </c>
      <c r="AL41" s="662" t="str">
        <f t="shared" si="8"/>
        <v/>
      </c>
      <c r="AM41" s="661" t="str">
        <f t="shared" si="25"/>
        <v/>
      </c>
      <c r="AN41" s="660" t="str">
        <f t="shared" si="9"/>
        <v/>
      </c>
      <c r="AO41" s="663" t="str">
        <f t="shared" si="26"/>
        <v/>
      </c>
      <c r="AP41" s="664" t="str">
        <f t="shared" si="10"/>
        <v/>
      </c>
      <c r="AQ41" s="658" t="str">
        <f t="shared" si="27"/>
        <v/>
      </c>
      <c r="AR41" s="660" t="str">
        <f t="shared" si="11"/>
        <v/>
      </c>
      <c r="AS41" s="663" t="str">
        <f t="shared" si="28"/>
        <v/>
      </c>
      <c r="AT41" s="664" t="str">
        <f t="shared" si="12"/>
        <v/>
      </c>
      <c r="AU41" s="304"/>
    </row>
    <row r="42" spans="1:47" ht="13.8" thickBot="1" x14ac:dyDescent="0.3">
      <c r="A42" s="26"/>
      <c r="B42" s="38"/>
      <c r="C42" s="563" t="s">
        <v>15</v>
      </c>
      <c r="D42" s="576"/>
      <c r="E42" s="573">
        <v>3000000</v>
      </c>
      <c r="F42" s="574"/>
      <c r="G42" s="574"/>
      <c r="H42" s="574"/>
      <c r="I42" s="574"/>
      <c r="J42" s="574"/>
      <c r="K42" s="574"/>
      <c r="L42" s="574"/>
      <c r="M42" s="575"/>
      <c r="N42" s="38"/>
      <c r="O42" s="38"/>
      <c r="P42" s="239">
        <v>3000000</v>
      </c>
      <c r="Q42" s="665" t="str">
        <f t="shared" si="16"/>
        <v/>
      </c>
      <c r="R42" s="666" t="str">
        <f t="shared" si="0"/>
        <v/>
      </c>
      <c r="S42" s="665" t="str">
        <f t="shared" si="17"/>
        <v/>
      </c>
      <c r="T42" s="667" t="str">
        <f t="shared" si="1"/>
        <v/>
      </c>
      <c r="U42" s="668" t="str">
        <f t="shared" si="18"/>
        <v/>
      </c>
      <c r="V42" s="669" t="str">
        <f t="shared" si="2"/>
        <v/>
      </c>
      <c r="W42" s="665" t="str">
        <f t="shared" si="19"/>
        <v/>
      </c>
      <c r="X42" s="666" t="str">
        <f t="shared" si="3"/>
        <v/>
      </c>
      <c r="Y42" s="670" t="str">
        <f t="shared" si="20"/>
        <v/>
      </c>
      <c r="Z42" s="669" t="str">
        <f t="shared" si="4"/>
        <v/>
      </c>
      <c r="AA42" s="671" t="str">
        <f t="shared" si="21"/>
        <v/>
      </c>
      <c r="AB42" s="672" t="str">
        <f t="shared" si="5"/>
        <v/>
      </c>
      <c r="AC42" s="673" t="str">
        <f t="shared" si="22"/>
        <v/>
      </c>
      <c r="AD42" s="674" t="str">
        <f t="shared" si="6"/>
        <v/>
      </c>
      <c r="AE42" s="240">
        <v>3000000</v>
      </c>
      <c r="AF42" s="38"/>
      <c r="AG42" s="38"/>
      <c r="AH42" s="241">
        <v>3000000</v>
      </c>
      <c r="AI42" s="665" t="str">
        <f t="shared" si="23"/>
        <v/>
      </c>
      <c r="AJ42" s="667" t="str">
        <f t="shared" si="7"/>
        <v/>
      </c>
      <c r="AK42" s="670" t="str">
        <f t="shared" si="24"/>
        <v/>
      </c>
      <c r="AL42" s="669" t="str">
        <f t="shared" si="8"/>
        <v/>
      </c>
      <c r="AM42" s="668" t="str">
        <f t="shared" si="25"/>
        <v/>
      </c>
      <c r="AN42" s="667" t="str">
        <f t="shared" si="9"/>
        <v/>
      </c>
      <c r="AO42" s="670" t="str">
        <f t="shared" si="26"/>
        <v/>
      </c>
      <c r="AP42" s="675" t="str">
        <f t="shared" si="10"/>
        <v/>
      </c>
      <c r="AQ42" s="665" t="str">
        <f t="shared" si="27"/>
        <v/>
      </c>
      <c r="AR42" s="667" t="str">
        <f t="shared" si="11"/>
        <v/>
      </c>
      <c r="AS42" s="670" t="str">
        <f t="shared" si="28"/>
        <v/>
      </c>
      <c r="AT42" s="675" t="str">
        <f t="shared" si="12"/>
        <v/>
      </c>
      <c r="AU42" s="304"/>
    </row>
    <row r="43" spans="1:47" ht="13.8" thickTop="1" x14ac:dyDescent="0.25">
      <c r="A43" s="26"/>
      <c r="B43" s="38"/>
      <c r="C43" s="302"/>
      <c r="D43" s="310"/>
      <c r="E43" s="243"/>
      <c r="F43" s="302"/>
      <c r="G43" s="302"/>
      <c r="H43" s="302"/>
      <c r="I43" s="302"/>
      <c r="J43" s="302"/>
      <c r="K43" s="302"/>
      <c r="L43" s="302"/>
      <c r="M43" s="302"/>
      <c r="N43" s="38"/>
      <c r="O43" s="38"/>
      <c r="P43" s="243"/>
      <c r="Q43" s="303"/>
      <c r="R43" s="304"/>
      <c r="S43" s="303"/>
      <c r="T43" s="304"/>
      <c r="U43" s="303"/>
      <c r="V43" s="304"/>
      <c r="W43" s="303"/>
      <c r="X43" s="304"/>
      <c r="Y43" s="303"/>
      <c r="Z43" s="304"/>
      <c r="AA43" s="305"/>
      <c r="AB43" s="306"/>
      <c r="AC43" s="305"/>
      <c r="AD43" s="306"/>
      <c r="AE43" s="243"/>
      <c r="AF43" s="38"/>
      <c r="AG43" s="38"/>
      <c r="AH43" s="243"/>
      <c r="AI43" s="303"/>
      <c r="AJ43" s="304"/>
      <c r="AK43" s="303"/>
      <c r="AL43" s="304"/>
      <c r="AM43" s="303"/>
      <c r="AN43" s="304"/>
      <c r="AO43" s="303"/>
      <c r="AP43" s="304"/>
      <c r="AQ43" s="303"/>
      <c r="AR43" s="304"/>
      <c r="AS43" s="303"/>
      <c r="AT43" s="304"/>
      <c r="AU43" s="304"/>
    </row>
    <row r="44" spans="1:47" ht="15.6" x14ac:dyDescent="0.3">
      <c r="A44" s="26"/>
      <c r="B44" s="38"/>
      <c r="C44" s="83" t="s">
        <v>1</v>
      </c>
      <c r="D44" s="122"/>
      <c r="E44" s="216"/>
      <c r="F44" s="81"/>
      <c r="G44" s="38"/>
      <c r="H44" s="38"/>
      <c r="I44" s="38"/>
      <c r="J44" s="38"/>
      <c r="K44" s="38"/>
      <c r="L44" s="38"/>
      <c r="M44" s="38"/>
      <c r="N44" s="38"/>
      <c r="O44" s="38"/>
      <c r="P44" s="83" t="s">
        <v>1</v>
      </c>
      <c r="Q44" s="38"/>
      <c r="R44" s="38"/>
      <c r="S44" s="38"/>
      <c r="T44" s="38"/>
      <c r="U44" s="38"/>
      <c r="V44" s="38"/>
      <c r="W44" s="38"/>
      <c r="X44" s="38"/>
      <c r="Y44" s="38"/>
      <c r="Z44" s="38"/>
      <c r="AA44" s="38"/>
      <c r="AB44" s="38"/>
      <c r="AC44" s="38"/>
      <c r="AD44" s="38"/>
      <c r="AE44" s="38"/>
      <c r="AF44" s="38"/>
      <c r="AG44" s="38"/>
      <c r="AH44" s="83" t="s">
        <v>1</v>
      </c>
      <c r="AI44" s="38"/>
      <c r="AJ44" s="38"/>
      <c r="AK44" s="38"/>
      <c r="AL44" s="38"/>
      <c r="AM44" s="38"/>
      <c r="AN44" s="38"/>
      <c r="AO44" s="38"/>
      <c r="AP44" s="38"/>
      <c r="AQ44" s="38"/>
      <c r="AR44" s="38"/>
      <c r="AS44" s="38"/>
      <c r="AT44" s="38"/>
      <c r="AU44" s="304"/>
    </row>
    <row r="45" spans="1:47" ht="16.2" thickBot="1" x14ac:dyDescent="0.35">
      <c r="A45" s="26"/>
      <c r="B45" s="38"/>
      <c r="C45" s="83"/>
      <c r="D45" s="38"/>
      <c r="E45" s="213"/>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04"/>
    </row>
    <row r="46" spans="1:47" ht="16.8" thickTop="1" thickBot="1" x14ac:dyDescent="0.35">
      <c r="A46" s="26"/>
      <c r="B46" s="38"/>
      <c r="C46" s="38"/>
      <c r="D46" s="38"/>
      <c r="E46" s="213"/>
      <c r="F46" s="217"/>
      <c r="G46" s="218"/>
      <c r="H46" s="829" t="s">
        <v>301</v>
      </c>
      <c r="I46" s="830"/>
      <c r="J46" s="830"/>
      <c r="K46" s="830"/>
      <c r="L46" s="830"/>
      <c r="M46" s="831"/>
      <c r="N46" s="38"/>
      <c r="O46" s="38"/>
      <c r="P46" s="38"/>
      <c r="Q46" s="820" t="s">
        <v>595</v>
      </c>
      <c r="R46" s="821"/>
      <c r="S46" s="821"/>
      <c r="T46" s="821"/>
      <c r="U46" s="821"/>
      <c r="V46" s="821"/>
      <c r="W46" s="821"/>
      <c r="X46" s="821"/>
      <c r="Y46" s="821"/>
      <c r="Z46" s="821"/>
      <c r="AA46" s="821"/>
      <c r="AB46" s="821"/>
      <c r="AC46" s="821"/>
      <c r="AD46" s="822"/>
      <c r="AE46" s="220"/>
      <c r="AF46" s="38"/>
      <c r="AG46" s="38"/>
      <c r="AH46" s="820" t="s">
        <v>595</v>
      </c>
      <c r="AI46" s="821"/>
      <c r="AJ46" s="821"/>
      <c r="AK46" s="821"/>
      <c r="AL46" s="821"/>
      <c r="AM46" s="821"/>
      <c r="AN46" s="821"/>
      <c r="AO46" s="821"/>
      <c r="AP46" s="821"/>
      <c r="AQ46" s="821"/>
      <c r="AR46" s="821"/>
      <c r="AS46" s="821"/>
      <c r="AT46" s="822"/>
      <c r="AU46" s="304"/>
    </row>
    <row r="47" spans="1:47" ht="57" customHeight="1" thickTop="1" x14ac:dyDescent="0.25">
      <c r="A47" s="26"/>
      <c r="B47" s="38"/>
      <c r="C47" s="577" t="s">
        <v>289</v>
      </c>
      <c r="D47" s="842" t="s">
        <v>581</v>
      </c>
      <c r="E47" s="567" t="s">
        <v>293</v>
      </c>
      <c r="F47" s="592" t="s">
        <v>310</v>
      </c>
      <c r="G47" s="592" t="s">
        <v>608</v>
      </c>
      <c r="H47" s="592" t="s">
        <v>609</v>
      </c>
      <c r="I47" s="592" t="s">
        <v>610</v>
      </c>
      <c r="J47" s="592" t="s">
        <v>611</v>
      </c>
      <c r="K47" s="592" t="s">
        <v>612</v>
      </c>
      <c r="L47" s="592" t="s">
        <v>613</v>
      </c>
      <c r="M47" s="568" t="s">
        <v>614</v>
      </c>
      <c r="N47" s="38"/>
      <c r="O47" s="38"/>
      <c r="P47" s="221" t="s">
        <v>293</v>
      </c>
      <c r="Q47" s="833" t="s">
        <v>294</v>
      </c>
      <c r="R47" s="834"/>
      <c r="S47" s="833" t="s">
        <v>295</v>
      </c>
      <c r="T47" s="834"/>
      <c r="U47" s="834"/>
      <c r="V47" s="835"/>
      <c r="W47" s="833" t="s">
        <v>296</v>
      </c>
      <c r="X47" s="834"/>
      <c r="Y47" s="834"/>
      <c r="Z47" s="835"/>
      <c r="AA47" s="837" t="s">
        <v>297</v>
      </c>
      <c r="AB47" s="838"/>
      <c r="AC47" s="838"/>
      <c r="AD47" s="839"/>
      <c r="AE47" s="223" t="s">
        <v>293</v>
      </c>
      <c r="AF47" s="38"/>
      <c r="AG47" s="38"/>
      <c r="AH47" s="224" t="s">
        <v>293</v>
      </c>
      <c r="AI47" s="823" t="s">
        <v>298</v>
      </c>
      <c r="AJ47" s="824"/>
      <c r="AK47" s="824"/>
      <c r="AL47" s="825"/>
      <c r="AM47" s="796" t="s">
        <v>299</v>
      </c>
      <c r="AN47" s="826"/>
      <c r="AO47" s="826"/>
      <c r="AP47" s="836"/>
      <c r="AQ47" s="795" t="s">
        <v>300</v>
      </c>
      <c r="AR47" s="826"/>
      <c r="AS47" s="826"/>
      <c r="AT47" s="836"/>
      <c r="AU47" s="304"/>
    </row>
    <row r="48" spans="1:47" ht="13.2" x14ac:dyDescent="0.25">
      <c r="A48" s="26"/>
      <c r="B48" s="38"/>
      <c r="C48" s="569"/>
      <c r="D48" s="843"/>
      <c r="E48" s="593"/>
      <c r="F48" s="629" t="str">
        <f>F28</f>
        <v>2017-18</v>
      </c>
      <c r="G48" s="629" t="str">
        <f t="shared" ref="G48:M48" si="29">G28</f>
        <v>2018-19</v>
      </c>
      <c r="H48" s="629" t="str">
        <f t="shared" si="29"/>
        <v>2019-20</v>
      </c>
      <c r="I48" s="629" t="str">
        <f t="shared" si="29"/>
        <v>2020-21</v>
      </c>
      <c r="J48" s="629" t="str">
        <f t="shared" si="29"/>
        <v>2021-22</v>
      </c>
      <c r="K48" s="629" t="str">
        <f t="shared" si="29"/>
        <v>2022-23</v>
      </c>
      <c r="L48" s="629" t="str">
        <f t="shared" si="29"/>
        <v>2023-24</v>
      </c>
      <c r="M48" s="652" t="str">
        <f t="shared" si="29"/>
        <v>2024-25</v>
      </c>
      <c r="N48" s="38"/>
      <c r="O48" s="38"/>
      <c r="P48" s="225" t="s">
        <v>71</v>
      </c>
      <c r="Q48" s="226" t="s">
        <v>44</v>
      </c>
      <c r="R48" s="227" t="s">
        <v>67</v>
      </c>
      <c r="S48" s="226" t="s">
        <v>44</v>
      </c>
      <c r="T48" s="228" t="s">
        <v>67</v>
      </c>
      <c r="U48" s="229" t="s">
        <v>45</v>
      </c>
      <c r="V48" s="230" t="s">
        <v>67</v>
      </c>
      <c r="W48" s="226" t="s">
        <v>44</v>
      </c>
      <c r="X48" s="231" t="s">
        <v>67</v>
      </c>
      <c r="Y48" s="228" t="s">
        <v>45</v>
      </c>
      <c r="Z48" s="230" t="s">
        <v>67</v>
      </c>
      <c r="AA48" s="229" t="s">
        <v>44</v>
      </c>
      <c r="AB48" s="231" t="s">
        <v>67</v>
      </c>
      <c r="AC48" s="228" t="s">
        <v>45</v>
      </c>
      <c r="AD48" s="232" t="s">
        <v>67</v>
      </c>
      <c r="AE48" s="233"/>
      <c r="AF48" s="38"/>
      <c r="AG48" s="38"/>
      <c r="AH48" s="234" t="s">
        <v>71</v>
      </c>
      <c r="AI48" s="226" t="s">
        <v>44</v>
      </c>
      <c r="AJ48" s="231" t="s">
        <v>67</v>
      </c>
      <c r="AK48" s="228" t="s">
        <v>45</v>
      </c>
      <c r="AL48" s="230" t="s">
        <v>67</v>
      </c>
      <c r="AM48" s="229" t="s">
        <v>44</v>
      </c>
      <c r="AN48" s="231" t="s">
        <v>67</v>
      </c>
      <c r="AO48" s="228" t="s">
        <v>45</v>
      </c>
      <c r="AP48" s="232" t="s">
        <v>67</v>
      </c>
      <c r="AQ48" s="235" t="s">
        <v>44</v>
      </c>
      <c r="AR48" s="231" t="s">
        <v>67</v>
      </c>
      <c r="AS48" s="228" t="s">
        <v>45</v>
      </c>
      <c r="AT48" s="232" t="s">
        <v>67</v>
      </c>
      <c r="AU48" s="304"/>
    </row>
    <row r="49" spans="1:47" ht="13.2" x14ac:dyDescent="0.25">
      <c r="A49" s="26"/>
      <c r="B49" s="38"/>
      <c r="C49" s="570" t="s">
        <v>14</v>
      </c>
      <c r="D49" s="676">
        <f>IF(D29="","",D29)</f>
        <v>2450</v>
      </c>
      <c r="E49" s="594">
        <v>50000</v>
      </c>
      <c r="F49" s="23">
        <f>E49*0.5873/100+386</f>
        <v>679.65000000000009</v>
      </c>
      <c r="G49" s="23">
        <f>E49*0.6007/100+395</f>
        <v>695.35</v>
      </c>
      <c r="H49" s="23">
        <f>G49*1.025</f>
        <v>712.73374999999999</v>
      </c>
      <c r="I49" s="23">
        <f>H49*1.025</f>
        <v>730.55209374999993</v>
      </c>
      <c r="J49" s="23">
        <f>I49*1.025</f>
        <v>748.81589609374987</v>
      </c>
      <c r="K49" s="23">
        <f>J49*1.025</f>
        <v>767.53629349609355</v>
      </c>
      <c r="L49" s="23"/>
      <c r="M49" s="23"/>
      <c r="N49" s="38"/>
      <c r="O49" s="38"/>
      <c r="P49" s="236">
        <v>50000</v>
      </c>
      <c r="Q49" s="658">
        <f>IF(G49="","",IF(F49=0,"",G49-F49))</f>
        <v>15.699999999999932</v>
      </c>
      <c r="R49" s="659">
        <f t="shared" ref="R49:R62" si="30">IF(Q49="","",Q49/F49)</f>
        <v>2.3100125064371264E-2</v>
      </c>
      <c r="S49" s="658">
        <f>IF(H49="","",IF(G49=0,"",H49-G49))</f>
        <v>17.383749999999964</v>
      </c>
      <c r="T49" s="660">
        <f t="shared" ref="T49:T62" si="31">IF(S49="","",S49/G49)</f>
        <v>2.4999999999999946E-2</v>
      </c>
      <c r="U49" s="661">
        <f>IF(S49="","",S49+Q49)</f>
        <v>33.083749999999895</v>
      </c>
      <c r="V49" s="662">
        <f t="shared" ref="V49:V62" si="32">IF(T49="","",U49/F49)</f>
        <v>4.8677628190980489E-2</v>
      </c>
      <c r="W49" s="658">
        <f>IF(I49="","",IF(H49=0,"",I49-H49))</f>
        <v>17.81834374999994</v>
      </c>
      <c r="X49" s="659">
        <f t="shared" ref="X49:X62" si="33">IF(W49="","",W49/H49)</f>
        <v>2.4999999999999915E-2</v>
      </c>
      <c r="Y49" s="663">
        <f>IF(W49="","",W49+U49)</f>
        <v>50.902093749999835</v>
      </c>
      <c r="Z49" s="662">
        <f t="shared" ref="Z49:Z62" si="34">IF(X49="","",Y49/F49)</f>
        <v>7.4894568895754909E-2</v>
      </c>
      <c r="AA49" s="661">
        <f>IF(J49="","",IF(I49=0,"",J49-I49))</f>
        <v>18.263802343749944</v>
      </c>
      <c r="AB49" s="659">
        <f t="shared" ref="AB49:AB62" si="35">IF(AA49="","",AA49/I49)</f>
        <v>2.4999999999999925E-2</v>
      </c>
      <c r="AC49" s="663">
        <f>IF(AA49="","",AA49+Y49)</f>
        <v>69.16589609374978</v>
      </c>
      <c r="AD49" s="664">
        <f t="shared" ref="AD49:AD62" si="36">IF(AB49="","",AC49/F49)</f>
        <v>0.1017669331181487</v>
      </c>
      <c r="AE49" s="237">
        <v>50000</v>
      </c>
      <c r="AF49" s="38"/>
      <c r="AG49" s="38"/>
      <c r="AH49" s="238">
        <v>50000</v>
      </c>
      <c r="AI49" s="658">
        <f>IF(K49="","",IF(J49=0,"",K49-J49))</f>
        <v>18.720397402343679</v>
      </c>
      <c r="AJ49" s="660">
        <f t="shared" ref="AJ49:AJ62" si="37">IF(AI49="","",AI49/J49)</f>
        <v>2.4999999999999908E-2</v>
      </c>
      <c r="AK49" s="663">
        <f>IF(AI49="","",AI49+AC49)</f>
        <v>87.886293496093458</v>
      </c>
      <c r="AL49" s="662">
        <f t="shared" ref="AL49:AL62" si="38">IF(AK49="","",AK49/F49)</f>
        <v>0.12931110644610233</v>
      </c>
      <c r="AM49" s="661" t="str">
        <f>IF(L49="","",IF(K49=0,"",L49-K49))</f>
        <v/>
      </c>
      <c r="AN49" s="660" t="str">
        <f t="shared" ref="AN49:AN62" si="39">IF(AM49="","",AM49/K49)</f>
        <v/>
      </c>
      <c r="AO49" s="663" t="str">
        <f>IF(AM49="","",AM49+AK49)</f>
        <v/>
      </c>
      <c r="AP49" s="664" t="str">
        <f t="shared" ref="AP49:AP62" si="40">IF(AO49="","",AO49/F49)</f>
        <v/>
      </c>
      <c r="AQ49" s="658" t="str">
        <f>IF(M49="","",IF(L49=0,"",M49-L49))</f>
        <v/>
      </c>
      <c r="AR49" s="660" t="str">
        <f t="shared" ref="AR49:AR62" si="41">IF(AQ49="","",AQ49/L49)</f>
        <v/>
      </c>
      <c r="AS49" s="663" t="str">
        <f>IF(AQ49="","",AQ49+AO49)</f>
        <v/>
      </c>
      <c r="AT49" s="664" t="str">
        <f t="shared" ref="AT49:AT62" si="42">IF(AS49="","",AS49/F49)</f>
        <v/>
      </c>
      <c r="AU49" s="304"/>
    </row>
    <row r="50" spans="1:47" ht="13.2" x14ac:dyDescent="0.25">
      <c r="A50" s="26"/>
      <c r="B50" s="38"/>
      <c r="C50" s="570" t="s">
        <v>280</v>
      </c>
      <c r="D50" s="676">
        <f t="shared" ref="D50:D62" si="43">IF(D30="","",D30)</f>
        <v>8931</v>
      </c>
      <c r="E50" s="594">
        <v>150000</v>
      </c>
      <c r="F50" s="23">
        <f t="shared" ref="F50:F59" si="44">E50*0.5873/100+386</f>
        <v>1266.95</v>
      </c>
      <c r="G50" s="23">
        <f t="shared" ref="G50:G59" si="45">E50*0.6007/100+395</f>
        <v>1296.05</v>
      </c>
      <c r="H50" s="23">
        <f t="shared" ref="H50:K59" si="46">G50*1.025</f>
        <v>1328.4512499999998</v>
      </c>
      <c r="I50" s="23">
        <f t="shared" si="46"/>
        <v>1361.6625312499998</v>
      </c>
      <c r="J50" s="23">
        <f t="shared" si="46"/>
        <v>1395.7040945312497</v>
      </c>
      <c r="K50" s="23">
        <f t="shared" si="46"/>
        <v>1430.5966968945309</v>
      </c>
      <c r="L50" s="23"/>
      <c r="M50" s="23"/>
      <c r="N50" s="38"/>
      <c r="O50" s="38"/>
      <c r="P50" s="236">
        <v>150000</v>
      </c>
      <c r="Q50" s="658">
        <f t="shared" ref="Q50:Q62" si="47">IF(G50="","",IF(F50=0,"",G50-F50))</f>
        <v>29.099999999999909</v>
      </c>
      <c r="R50" s="659">
        <f t="shared" si="30"/>
        <v>2.2968546509333367E-2</v>
      </c>
      <c r="S50" s="658">
        <f t="shared" ref="S50:S62" si="48">IF(H50="","",IF(G50=0,"",H50-G50))</f>
        <v>32.401249999999891</v>
      </c>
      <c r="T50" s="660">
        <f t="shared" si="31"/>
        <v>2.4999999999999918E-2</v>
      </c>
      <c r="U50" s="661">
        <f t="shared" ref="U50:U62" si="49">IF(S50="","",S50+Q50)</f>
        <v>61.5012499999998</v>
      </c>
      <c r="V50" s="662">
        <f t="shared" si="32"/>
        <v>4.8542760172066615E-2</v>
      </c>
      <c r="W50" s="658">
        <f t="shared" ref="W50:W62" si="50">IF(I50="","",IF(H50=0,"",I50-H50))</f>
        <v>33.211281249999956</v>
      </c>
      <c r="X50" s="659">
        <f t="shared" si="33"/>
        <v>2.499999999999997E-2</v>
      </c>
      <c r="Y50" s="663">
        <f t="shared" ref="Y50:Y62" si="51">IF(W50="","",W50+U50)</f>
        <v>94.712531249999756</v>
      </c>
      <c r="Z50" s="662">
        <f t="shared" si="34"/>
        <v>7.475632917636825E-2</v>
      </c>
      <c r="AA50" s="661">
        <f t="shared" ref="AA50:AA62" si="52">IF(J50="","",IF(I50=0,"",J50-I50))</f>
        <v>34.041563281249864</v>
      </c>
      <c r="AB50" s="659">
        <f t="shared" si="35"/>
        <v>2.4999999999999904E-2</v>
      </c>
      <c r="AC50" s="663">
        <f t="shared" ref="AC50:AC62" si="53">IF(AA50="","",AA50+Y50)</f>
        <v>128.75409453124962</v>
      </c>
      <c r="AD50" s="664">
        <f t="shared" si="36"/>
        <v>0.10162523740577735</v>
      </c>
      <c r="AE50" s="237">
        <v>150000</v>
      </c>
      <c r="AF50" s="38"/>
      <c r="AG50" s="38"/>
      <c r="AH50" s="238">
        <v>150000</v>
      </c>
      <c r="AI50" s="658">
        <f t="shared" ref="AI50:AI62" si="54">IF(K50="","",IF(J50=0,"",K50-J50))</f>
        <v>34.892602363281185</v>
      </c>
      <c r="AJ50" s="660">
        <f t="shared" si="37"/>
        <v>2.499999999999996E-2</v>
      </c>
      <c r="AK50" s="663">
        <f t="shared" ref="AK50:AK62" si="55">IF(AI50="","",AI50+AC50)</f>
        <v>163.64669689453081</v>
      </c>
      <c r="AL50" s="662">
        <f t="shared" si="38"/>
        <v>0.12916586834092175</v>
      </c>
      <c r="AM50" s="661" t="str">
        <f t="shared" ref="AM50:AM62" si="56">IF(L50="","",IF(K50=0,"",L50-K50))</f>
        <v/>
      </c>
      <c r="AN50" s="660" t="str">
        <f t="shared" si="39"/>
        <v/>
      </c>
      <c r="AO50" s="663" t="str">
        <f t="shared" ref="AO50:AO62" si="57">IF(AM50="","",AM50+AK50)</f>
        <v/>
      </c>
      <c r="AP50" s="664" t="str">
        <f t="shared" si="40"/>
        <v/>
      </c>
      <c r="AQ50" s="658" t="str">
        <f t="shared" ref="AQ50:AQ62" si="58">IF(M50="","",IF(L50=0,"",M50-L50))</f>
        <v/>
      </c>
      <c r="AR50" s="660" t="str">
        <f t="shared" si="41"/>
        <v/>
      </c>
      <c r="AS50" s="663" t="str">
        <f t="shared" ref="AS50:AS62" si="59">IF(AQ50="","",AQ50+AO50)</f>
        <v/>
      </c>
      <c r="AT50" s="664" t="str">
        <f t="shared" si="42"/>
        <v/>
      </c>
      <c r="AU50" s="304"/>
    </row>
    <row r="51" spans="1:47" ht="13.2" x14ac:dyDescent="0.25">
      <c r="A51" s="26"/>
      <c r="B51" s="38"/>
      <c r="C51" s="570" t="s">
        <v>281</v>
      </c>
      <c r="D51" s="676">
        <f t="shared" si="43"/>
        <v>1015</v>
      </c>
      <c r="E51" s="594">
        <v>250000</v>
      </c>
      <c r="F51" s="23">
        <f t="shared" si="44"/>
        <v>1854.25</v>
      </c>
      <c r="G51" s="23">
        <f t="shared" si="45"/>
        <v>1896.75</v>
      </c>
      <c r="H51" s="23">
        <f t="shared" si="46"/>
        <v>1944.1687499999998</v>
      </c>
      <c r="I51" s="23">
        <f t="shared" si="46"/>
        <v>1992.7729687499996</v>
      </c>
      <c r="J51" s="23">
        <f t="shared" si="46"/>
        <v>2042.5922929687495</v>
      </c>
      <c r="K51" s="23">
        <f t="shared" si="46"/>
        <v>2093.6571002929682</v>
      </c>
      <c r="L51" s="23"/>
      <c r="M51" s="23"/>
      <c r="N51" s="38"/>
      <c r="O51" s="38"/>
      <c r="P51" s="236">
        <v>250000</v>
      </c>
      <c r="Q51" s="658">
        <f t="shared" si="47"/>
        <v>42.5</v>
      </c>
      <c r="R51" s="659">
        <f t="shared" si="30"/>
        <v>2.2920318187946608E-2</v>
      </c>
      <c r="S51" s="658">
        <f t="shared" si="48"/>
        <v>47.418749999999818</v>
      </c>
      <c r="T51" s="660">
        <f t="shared" si="31"/>
        <v>2.4999999999999904E-2</v>
      </c>
      <c r="U51" s="661">
        <f t="shared" si="49"/>
        <v>89.918749999999818</v>
      </c>
      <c r="V51" s="662">
        <f t="shared" si="32"/>
        <v>4.8493326142645177E-2</v>
      </c>
      <c r="W51" s="658">
        <f t="shared" si="50"/>
        <v>48.604218749999745</v>
      </c>
      <c r="X51" s="659">
        <f t="shared" si="33"/>
        <v>2.4999999999999873E-2</v>
      </c>
      <c r="Y51" s="663">
        <f t="shared" si="51"/>
        <v>138.52296874999956</v>
      </c>
      <c r="Z51" s="662">
        <f t="shared" si="34"/>
        <v>7.4705659296211174E-2</v>
      </c>
      <c r="AA51" s="661">
        <f t="shared" si="52"/>
        <v>49.819324218749898</v>
      </c>
      <c r="AB51" s="659">
        <f t="shared" si="35"/>
        <v>2.4999999999999953E-2</v>
      </c>
      <c r="AC51" s="663">
        <f t="shared" si="53"/>
        <v>188.34229296874946</v>
      </c>
      <c r="AD51" s="664">
        <f t="shared" si="36"/>
        <v>0.1015733007786164</v>
      </c>
      <c r="AE51" s="237">
        <v>250000</v>
      </c>
      <c r="AF51" s="38"/>
      <c r="AG51" s="38"/>
      <c r="AH51" s="238">
        <v>250000</v>
      </c>
      <c r="AI51" s="658">
        <f t="shared" si="54"/>
        <v>51.064807324218691</v>
      </c>
      <c r="AJ51" s="660">
        <f t="shared" si="37"/>
        <v>2.4999999999999977E-2</v>
      </c>
      <c r="AK51" s="663">
        <f t="shared" si="55"/>
        <v>239.40710029296815</v>
      </c>
      <c r="AL51" s="662">
        <f t="shared" si="38"/>
        <v>0.12911263329808179</v>
      </c>
      <c r="AM51" s="661" t="str">
        <f t="shared" si="56"/>
        <v/>
      </c>
      <c r="AN51" s="660" t="str">
        <f t="shared" si="39"/>
        <v/>
      </c>
      <c r="AO51" s="663" t="str">
        <f t="shared" si="57"/>
        <v/>
      </c>
      <c r="AP51" s="664" t="str">
        <f t="shared" si="40"/>
        <v/>
      </c>
      <c r="AQ51" s="658" t="str">
        <f t="shared" si="58"/>
        <v/>
      </c>
      <c r="AR51" s="660" t="str">
        <f t="shared" si="41"/>
        <v/>
      </c>
      <c r="AS51" s="663" t="str">
        <f t="shared" si="59"/>
        <v/>
      </c>
      <c r="AT51" s="664" t="str">
        <f t="shared" si="42"/>
        <v/>
      </c>
      <c r="AU51" s="304"/>
    </row>
    <row r="52" spans="1:47" ht="13.2" x14ac:dyDescent="0.25">
      <c r="A52" s="26"/>
      <c r="B52" s="38"/>
      <c r="C52" s="570" t="s">
        <v>282</v>
      </c>
      <c r="D52" s="676">
        <f t="shared" si="43"/>
        <v>101</v>
      </c>
      <c r="E52" s="594">
        <v>350000</v>
      </c>
      <c r="F52" s="23">
        <f t="shared" si="44"/>
        <v>2441.5500000000002</v>
      </c>
      <c r="G52" s="23">
        <f t="shared" si="45"/>
        <v>2497.4499999999998</v>
      </c>
      <c r="H52" s="23">
        <f t="shared" si="46"/>
        <v>2559.8862499999996</v>
      </c>
      <c r="I52" s="23">
        <f t="shared" si="46"/>
        <v>2623.8834062499991</v>
      </c>
      <c r="J52" s="23">
        <f t="shared" si="46"/>
        <v>2689.4804914062488</v>
      </c>
      <c r="K52" s="23">
        <f t="shared" si="46"/>
        <v>2756.717503691405</v>
      </c>
      <c r="L52" s="23"/>
      <c r="M52" s="571"/>
      <c r="N52" s="38"/>
      <c r="O52" s="38"/>
      <c r="P52" s="236">
        <v>350000</v>
      </c>
      <c r="Q52" s="658">
        <f t="shared" si="47"/>
        <v>55.899999999999636</v>
      </c>
      <c r="R52" s="659">
        <f t="shared" si="30"/>
        <v>2.2895291925211291E-2</v>
      </c>
      <c r="S52" s="658">
        <f t="shared" si="48"/>
        <v>62.436249999999745</v>
      </c>
      <c r="T52" s="660">
        <f t="shared" si="31"/>
        <v>2.4999999999999901E-2</v>
      </c>
      <c r="U52" s="661">
        <f t="shared" si="49"/>
        <v>118.33624999999938</v>
      </c>
      <c r="V52" s="662">
        <f t="shared" si="32"/>
        <v>4.8467674223341473E-2</v>
      </c>
      <c r="W52" s="658">
        <f t="shared" si="50"/>
        <v>63.997156249999534</v>
      </c>
      <c r="X52" s="659">
        <f t="shared" si="33"/>
        <v>2.4999999999999821E-2</v>
      </c>
      <c r="Y52" s="663">
        <f t="shared" si="51"/>
        <v>182.33340624999892</v>
      </c>
      <c r="Z52" s="662">
        <f t="shared" si="34"/>
        <v>7.4679366078924822E-2</v>
      </c>
      <c r="AA52" s="661">
        <f t="shared" si="52"/>
        <v>65.597085156249705</v>
      </c>
      <c r="AB52" s="659">
        <f t="shared" si="35"/>
        <v>2.4999999999999897E-2</v>
      </c>
      <c r="AC52" s="663">
        <f t="shared" si="53"/>
        <v>247.93049140624862</v>
      </c>
      <c r="AD52" s="664">
        <f t="shared" si="36"/>
        <v>0.10154635023089784</v>
      </c>
      <c r="AE52" s="237">
        <v>350000</v>
      </c>
      <c r="AF52" s="38"/>
      <c r="AG52" s="38"/>
      <c r="AH52" s="238">
        <v>350000</v>
      </c>
      <c r="AI52" s="658">
        <f t="shared" si="54"/>
        <v>67.237012285156197</v>
      </c>
      <c r="AJ52" s="660">
        <f t="shared" si="37"/>
        <v>2.4999999999999991E-2</v>
      </c>
      <c r="AK52" s="663">
        <f t="shared" si="55"/>
        <v>315.16750369140482</v>
      </c>
      <c r="AL52" s="662">
        <f t="shared" si="38"/>
        <v>0.12908500898667027</v>
      </c>
      <c r="AM52" s="661" t="str">
        <f t="shared" si="56"/>
        <v/>
      </c>
      <c r="AN52" s="660" t="str">
        <f t="shared" si="39"/>
        <v/>
      </c>
      <c r="AO52" s="663" t="str">
        <f t="shared" si="57"/>
        <v/>
      </c>
      <c r="AP52" s="664" t="str">
        <f t="shared" si="40"/>
        <v/>
      </c>
      <c r="AQ52" s="658" t="str">
        <f t="shared" si="58"/>
        <v/>
      </c>
      <c r="AR52" s="660" t="str">
        <f t="shared" si="41"/>
        <v/>
      </c>
      <c r="AS52" s="663" t="str">
        <f t="shared" si="59"/>
        <v/>
      </c>
      <c r="AT52" s="664" t="str">
        <f t="shared" si="42"/>
        <v/>
      </c>
      <c r="AU52" s="304"/>
    </row>
    <row r="53" spans="1:47" ht="13.2" x14ac:dyDescent="0.25">
      <c r="A53" s="26"/>
      <c r="B53" s="38"/>
      <c r="C53" s="570" t="s">
        <v>283</v>
      </c>
      <c r="D53" s="676">
        <f t="shared" si="43"/>
        <v>18</v>
      </c>
      <c r="E53" s="594">
        <v>450000</v>
      </c>
      <c r="F53" s="23">
        <f t="shared" si="44"/>
        <v>3028.85</v>
      </c>
      <c r="G53" s="23">
        <f t="shared" si="45"/>
        <v>3098.15</v>
      </c>
      <c r="H53" s="23">
        <f t="shared" si="46"/>
        <v>3175.6037499999998</v>
      </c>
      <c r="I53" s="23">
        <f t="shared" si="46"/>
        <v>3254.9938437499995</v>
      </c>
      <c r="J53" s="23">
        <f t="shared" si="46"/>
        <v>3336.3686898437491</v>
      </c>
      <c r="K53" s="23">
        <f t="shared" si="46"/>
        <v>3419.7779070898423</v>
      </c>
      <c r="L53" s="23"/>
      <c r="M53" s="571"/>
      <c r="N53" s="38"/>
      <c r="O53" s="38"/>
      <c r="P53" s="236">
        <v>450000</v>
      </c>
      <c r="Q53" s="658">
        <f t="shared" si="47"/>
        <v>69.300000000000182</v>
      </c>
      <c r="R53" s="659">
        <f t="shared" si="30"/>
        <v>2.2879970946068702E-2</v>
      </c>
      <c r="S53" s="658">
        <f t="shared" si="48"/>
        <v>77.453749999999673</v>
      </c>
      <c r="T53" s="660">
        <f t="shared" si="31"/>
        <v>2.4999999999999894E-2</v>
      </c>
      <c r="U53" s="661">
        <f t="shared" si="49"/>
        <v>146.75374999999985</v>
      </c>
      <c r="V53" s="662">
        <f t="shared" si="32"/>
        <v>4.8451970219720308E-2</v>
      </c>
      <c r="W53" s="658">
        <f t="shared" si="50"/>
        <v>79.390093749999778</v>
      </c>
      <c r="X53" s="659">
        <f t="shared" si="33"/>
        <v>2.4999999999999932E-2</v>
      </c>
      <c r="Y53" s="663">
        <f t="shared" si="51"/>
        <v>226.14384374999963</v>
      </c>
      <c r="Z53" s="662">
        <f t="shared" si="34"/>
        <v>7.4663269475213248E-2</v>
      </c>
      <c r="AA53" s="661">
        <f t="shared" si="52"/>
        <v>81.374846093749511</v>
      </c>
      <c r="AB53" s="659">
        <f t="shared" si="35"/>
        <v>2.4999999999999852E-2</v>
      </c>
      <c r="AC53" s="663">
        <f t="shared" si="53"/>
        <v>307.51868984374914</v>
      </c>
      <c r="AD53" s="664">
        <f t="shared" si="36"/>
        <v>0.10152985121209342</v>
      </c>
      <c r="AE53" s="237">
        <v>450000</v>
      </c>
      <c r="AF53" s="38"/>
      <c r="AG53" s="38"/>
      <c r="AH53" s="238">
        <v>450000</v>
      </c>
      <c r="AI53" s="658">
        <f t="shared" si="54"/>
        <v>83.409217246093249</v>
      </c>
      <c r="AJ53" s="660">
        <f t="shared" si="37"/>
        <v>2.4999999999999856E-2</v>
      </c>
      <c r="AK53" s="663">
        <f t="shared" si="55"/>
        <v>390.92790708984239</v>
      </c>
      <c r="AL53" s="662">
        <f t="shared" si="38"/>
        <v>0.12906809749239559</v>
      </c>
      <c r="AM53" s="661" t="str">
        <f t="shared" si="56"/>
        <v/>
      </c>
      <c r="AN53" s="660" t="str">
        <f t="shared" si="39"/>
        <v/>
      </c>
      <c r="AO53" s="663" t="str">
        <f t="shared" si="57"/>
        <v/>
      </c>
      <c r="AP53" s="664" t="str">
        <f t="shared" si="40"/>
        <v/>
      </c>
      <c r="AQ53" s="658" t="str">
        <f t="shared" si="58"/>
        <v/>
      </c>
      <c r="AR53" s="660" t="str">
        <f t="shared" si="41"/>
        <v/>
      </c>
      <c r="AS53" s="663" t="str">
        <f t="shared" si="59"/>
        <v/>
      </c>
      <c r="AT53" s="664" t="str">
        <f t="shared" si="42"/>
        <v/>
      </c>
      <c r="AU53" s="304"/>
    </row>
    <row r="54" spans="1:47" ht="13.2" x14ac:dyDescent="0.25">
      <c r="A54" s="26"/>
      <c r="B54" s="38"/>
      <c r="C54" s="570" t="s">
        <v>284</v>
      </c>
      <c r="D54" s="676">
        <f t="shared" si="43"/>
        <v>8</v>
      </c>
      <c r="E54" s="594">
        <v>550000</v>
      </c>
      <c r="F54" s="23">
        <f t="shared" si="44"/>
        <v>3616.15</v>
      </c>
      <c r="G54" s="23">
        <f t="shared" si="45"/>
        <v>3698.85</v>
      </c>
      <c r="H54" s="23">
        <f t="shared" si="46"/>
        <v>3791.3212499999995</v>
      </c>
      <c r="I54" s="23">
        <f t="shared" si="46"/>
        <v>3886.1042812499991</v>
      </c>
      <c r="J54" s="23">
        <f t="shared" si="46"/>
        <v>3983.2568882812488</v>
      </c>
      <c r="K54" s="23">
        <f t="shared" si="46"/>
        <v>4082.8383104882796</v>
      </c>
      <c r="L54" s="23"/>
      <c r="M54" s="571"/>
      <c r="N54" s="38"/>
      <c r="O54" s="38"/>
      <c r="P54" s="236">
        <v>550000</v>
      </c>
      <c r="Q54" s="658">
        <f t="shared" si="47"/>
        <v>82.699999999999818</v>
      </c>
      <c r="R54" s="659">
        <f t="shared" si="30"/>
        <v>2.2869626536509775E-2</v>
      </c>
      <c r="S54" s="658">
        <f t="shared" si="48"/>
        <v>92.4712499999996</v>
      </c>
      <c r="T54" s="660">
        <f t="shared" si="31"/>
        <v>2.4999999999999894E-2</v>
      </c>
      <c r="U54" s="661">
        <f t="shared" si="49"/>
        <v>175.17124999999942</v>
      </c>
      <c r="V54" s="662">
        <f t="shared" si="32"/>
        <v>4.8441367199922404E-2</v>
      </c>
      <c r="W54" s="658">
        <f t="shared" si="50"/>
        <v>94.783031249999567</v>
      </c>
      <c r="X54" s="659">
        <f t="shared" si="33"/>
        <v>2.499999999999989E-2</v>
      </c>
      <c r="Y54" s="663">
        <f t="shared" si="51"/>
        <v>269.95428124999899</v>
      </c>
      <c r="Z54" s="662">
        <f t="shared" si="34"/>
        <v>7.4652401379920352E-2</v>
      </c>
      <c r="AA54" s="661">
        <f t="shared" si="52"/>
        <v>97.152607031249772</v>
      </c>
      <c r="AB54" s="659">
        <f t="shared" si="35"/>
        <v>2.4999999999999946E-2</v>
      </c>
      <c r="AC54" s="663">
        <f t="shared" si="53"/>
        <v>367.10688828124876</v>
      </c>
      <c r="AD54" s="664">
        <f t="shared" si="36"/>
        <v>0.1015187114144183</v>
      </c>
      <c r="AE54" s="237">
        <v>550000</v>
      </c>
      <c r="AF54" s="38"/>
      <c r="AG54" s="38"/>
      <c r="AH54" s="238">
        <v>550000</v>
      </c>
      <c r="AI54" s="658">
        <f t="shared" si="54"/>
        <v>99.581422207030755</v>
      </c>
      <c r="AJ54" s="660">
        <f t="shared" si="37"/>
        <v>2.4999999999999883E-2</v>
      </c>
      <c r="AK54" s="663">
        <f t="shared" si="55"/>
        <v>466.68831048827951</v>
      </c>
      <c r="AL54" s="662">
        <f t="shared" si="38"/>
        <v>0.12905667919977865</v>
      </c>
      <c r="AM54" s="661" t="str">
        <f t="shared" si="56"/>
        <v/>
      </c>
      <c r="AN54" s="660" t="str">
        <f t="shared" si="39"/>
        <v/>
      </c>
      <c r="AO54" s="663" t="str">
        <f t="shared" si="57"/>
        <v/>
      </c>
      <c r="AP54" s="664" t="str">
        <f t="shared" si="40"/>
        <v/>
      </c>
      <c r="AQ54" s="658" t="str">
        <f t="shared" si="58"/>
        <v/>
      </c>
      <c r="AR54" s="660" t="str">
        <f t="shared" si="41"/>
        <v/>
      </c>
      <c r="AS54" s="663" t="str">
        <f t="shared" si="59"/>
        <v/>
      </c>
      <c r="AT54" s="664" t="str">
        <f t="shared" si="42"/>
        <v/>
      </c>
      <c r="AU54" s="304"/>
    </row>
    <row r="55" spans="1:47" ht="13.2" x14ac:dyDescent="0.25">
      <c r="A55" s="26"/>
      <c r="B55" s="38"/>
      <c r="C55" s="570" t="s">
        <v>285</v>
      </c>
      <c r="D55" s="676">
        <f t="shared" si="43"/>
        <v>2</v>
      </c>
      <c r="E55" s="594">
        <v>650000</v>
      </c>
      <c r="F55" s="23">
        <f t="shared" si="44"/>
        <v>4203.45</v>
      </c>
      <c r="G55" s="23">
        <f t="shared" si="45"/>
        <v>4299.55</v>
      </c>
      <c r="H55" s="23">
        <f t="shared" si="46"/>
        <v>4407.0387499999997</v>
      </c>
      <c r="I55" s="23">
        <f t="shared" si="46"/>
        <v>4517.2147187499995</v>
      </c>
      <c r="J55" s="23">
        <f t="shared" si="46"/>
        <v>4630.1450867187496</v>
      </c>
      <c r="K55" s="23">
        <f t="shared" si="46"/>
        <v>4745.8987138867178</v>
      </c>
      <c r="L55" s="23"/>
      <c r="M55" s="571"/>
      <c r="N55" s="38"/>
      <c r="O55" s="38"/>
      <c r="P55" s="236">
        <v>650000</v>
      </c>
      <c r="Q55" s="658">
        <f t="shared" si="47"/>
        <v>96.100000000000364</v>
      </c>
      <c r="R55" s="659">
        <f t="shared" si="30"/>
        <v>2.2862172739059671E-2</v>
      </c>
      <c r="S55" s="658">
        <f t="shared" si="48"/>
        <v>107.48874999999953</v>
      </c>
      <c r="T55" s="660">
        <f t="shared" si="31"/>
        <v>2.499999999999989E-2</v>
      </c>
      <c r="U55" s="661">
        <f t="shared" si="49"/>
        <v>203.58874999999989</v>
      </c>
      <c r="V55" s="662">
        <f t="shared" si="32"/>
        <v>4.8433727057536048E-2</v>
      </c>
      <c r="W55" s="658">
        <f t="shared" si="50"/>
        <v>110.17596874999981</v>
      </c>
      <c r="X55" s="659">
        <f t="shared" si="33"/>
        <v>2.499999999999996E-2</v>
      </c>
      <c r="Y55" s="663">
        <f t="shared" si="51"/>
        <v>313.7647187499997</v>
      </c>
      <c r="Z55" s="662">
        <f t="shared" si="34"/>
        <v>7.4644570233974403E-2</v>
      </c>
      <c r="AA55" s="661">
        <f t="shared" si="52"/>
        <v>112.93036796875003</v>
      </c>
      <c r="AB55" s="659">
        <f t="shared" si="35"/>
        <v>2.5000000000000012E-2</v>
      </c>
      <c r="AC55" s="663">
        <f t="shared" si="53"/>
        <v>426.69508671874974</v>
      </c>
      <c r="AD55" s="664">
        <f t="shared" si="36"/>
        <v>0.10151068448982378</v>
      </c>
      <c r="AE55" s="237">
        <v>650000</v>
      </c>
      <c r="AF55" s="38"/>
      <c r="AG55" s="38"/>
      <c r="AH55" s="238">
        <v>650000</v>
      </c>
      <c r="AI55" s="658">
        <f t="shared" si="54"/>
        <v>115.75362716796826</v>
      </c>
      <c r="AJ55" s="660">
        <f t="shared" si="37"/>
        <v>2.4999999999999897E-2</v>
      </c>
      <c r="AK55" s="663">
        <f t="shared" si="55"/>
        <v>542.448713886718</v>
      </c>
      <c r="AL55" s="662">
        <f t="shared" si="38"/>
        <v>0.12904845160206926</v>
      </c>
      <c r="AM55" s="661" t="str">
        <f t="shared" si="56"/>
        <v/>
      </c>
      <c r="AN55" s="660" t="str">
        <f t="shared" si="39"/>
        <v/>
      </c>
      <c r="AO55" s="663" t="str">
        <f t="shared" si="57"/>
        <v/>
      </c>
      <c r="AP55" s="664" t="str">
        <f t="shared" si="40"/>
        <v/>
      </c>
      <c r="AQ55" s="658" t="str">
        <f t="shared" si="58"/>
        <v/>
      </c>
      <c r="AR55" s="660" t="str">
        <f t="shared" si="41"/>
        <v/>
      </c>
      <c r="AS55" s="663" t="str">
        <f t="shared" si="59"/>
        <v/>
      </c>
      <c r="AT55" s="664" t="str">
        <f t="shared" si="42"/>
        <v/>
      </c>
      <c r="AU55" s="304"/>
    </row>
    <row r="56" spans="1:47" ht="13.2" x14ac:dyDescent="0.25">
      <c r="A56" s="26"/>
      <c r="B56" s="38"/>
      <c r="C56" s="570" t="s">
        <v>286</v>
      </c>
      <c r="D56" s="676">
        <f t="shared" si="43"/>
        <v>0</v>
      </c>
      <c r="E56" s="594">
        <v>750000</v>
      </c>
      <c r="F56" s="23">
        <f t="shared" si="44"/>
        <v>4790.7500000000009</v>
      </c>
      <c r="G56" s="23">
        <f t="shared" si="45"/>
        <v>4900.25</v>
      </c>
      <c r="H56" s="23">
        <f t="shared" si="46"/>
        <v>5022.7562499999995</v>
      </c>
      <c r="I56" s="23">
        <f t="shared" si="46"/>
        <v>5148.3251562499991</v>
      </c>
      <c r="J56" s="23">
        <f t="shared" si="46"/>
        <v>5277.0332851562489</v>
      </c>
      <c r="K56" s="23">
        <f t="shared" si="46"/>
        <v>5408.9591172851542</v>
      </c>
      <c r="L56" s="23"/>
      <c r="M56" s="571"/>
      <c r="N56" s="38"/>
      <c r="O56" s="38"/>
      <c r="P56" s="236">
        <v>750000</v>
      </c>
      <c r="Q56" s="658">
        <f t="shared" si="47"/>
        <v>109.49999999999909</v>
      </c>
      <c r="R56" s="659">
        <f t="shared" si="30"/>
        <v>2.2856546469759237E-2</v>
      </c>
      <c r="S56" s="658">
        <f t="shared" si="48"/>
        <v>122.50624999999945</v>
      </c>
      <c r="T56" s="660">
        <f t="shared" si="31"/>
        <v>2.499999999999989E-2</v>
      </c>
      <c r="U56" s="661">
        <f t="shared" si="49"/>
        <v>232.00624999999854</v>
      </c>
      <c r="V56" s="662">
        <f t="shared" si="32"/>
        <v>4.8427960131503106E-2</v>
      </c>
      <c r="W56" s="658">
        <f t="shared" si="50"/>
        <v>125.5689062499996</v>
      </c>
      <c r="X56" s="659">
        <f t="shared" si="33"/>
        <v>2.4999999999999922E-2</v>
      </c>
      <c r="Y56" s="663">
        <f t="shared" si="51"/>
        <v>357.57515624999814</v>
      </c>
      <c r="Z56" s="662">
        <f t="shared" si="34"/>
        <v>7.4638659134790605E-2</v>
      </c>
      <c r="AA56" s="661">
        <f t="shared" si="52"/>
        <v>128.70812890624984</v>
      </c>
      <c r="AB56" s="659">
        <f t="shared" si="35"/>
        <v>2.4999999999999974E-2</v>
      </c>
      <c r="AC56" s="663">
        <f t="shared" si="53"/>
        <v>486.28328515624798</v>
      </c>
      <c r="AD56" s="664">
        <f t="shared" si="36"/>
        <v>0.10150462561316034</v>
      </c>
      <c r="AE56" s="237">
        <v>750000</v>
      </c>
      <c r="AF56" s="38"/>
      <c r="AG56" s="38"/>
      <c r="AH56" s="238">
        <v>750000</v>
      </c>
      <c r="AI56" s="658">
        <f t="shared" si="54"/>
        <v>131.92583212890531</v>
      </c>
      <c r="AJ56" s="660">
        <f t="shared" si="37"/>
        <v>2.4999999999999828E-2</v>
      </c>
      <c r="AK56" s="663">
        <f t="shared" si="55"/>
        <v>618.2091172851533</v>
      </c>
      <c r="AL56" s="662">
        <f t="shared" si="38"/>
        <v>0.12904224125348915</v>
      </c>
      <c r="AM56" s="661" t="str">
        <f t="shared" si="56"/>
        <v/>
      </c>
      <c r="AN56" s="660" t="str">
        <f t="shared" si="39"/>
        <v/>
      </c>
      <c r="AO56" s="663" t="str">
        <f t="shared" si="57"/>
        <v/>
      </c>
      <c r="AP56" s="664" t="str">
        <f t="shared" si="40"/>
        <v/>
      </c>
      <c r="AQ56" s="658" t="str">
        <f t="shared" si="58"/>
        <v/>
      </c>
      <c r="AR56" s="660" t="str">
        <f t="shared" si="41"/>
        <v/>
      </c>
      <c r="AS56" s="663" t="str">
        <f t="shared" si="59"/>
        <v/>
      </c>
      <c r="AT56" s="664" t="str">
        <f t="shared" si="42"/>
        <v/>
      </c>
      <c r="AU56" s="304"/>
    </row>
    <row r="57" spans="1:47" ht="13.2" x14ac:dyDescent="0.25">
      <c r="A57" s="26"/>
      <c r="B57" s="38"/>
      <c r="C57" s="570" t="s">
        <v>287</v>
      </c>
      <c r="D57" s="676">
        <f t="shared" si="43"/>
        <v>3</v>
      </c>
      <c r="E57" s="594">
        <v>850000</v>
      </c>
      <c r="F57" s="23">
        <f t="shared" si="44"/>
        <v>5378.05</v>
      </c>
      <c r="G57" s="23">
        <f t="shared" si="45"/>
        <v>5500.95</v>
      </c>
      <c r="H57" s="23">
        <f t="shared" si="46"/>
        <v>5638.4737499999992</v>
      </c>
      <c r="I57" s="23">
        <f t="shared" si="46"/>
        <v>5779.4355937499986</v>
      </c>
      <c r="J57" s="23">
        <f t="shared" si="46"/>
        <v>5923.9214835937482</v>
      </c>
      <c r="K57" s="23">
        <f t="shared" si="46"/>
        <v>6072.0195206835915</v>
      </c>
      <c r="L57" s="23"/>
      <c r="M57" s="571"/>
      <c r="N57" s="38"/>
      <c r="O57" s="38"/>
      <c r="P57" s="236">
        <v>850000</v>
      </c>
      <c r="Q57" s="658">
        <f t="shared" si="47"/>
        <v>122.89999999999964</v>
      </c>
      <c r="R57" s="659">
        <f t="shared" si="30"/>
        <v>2.2852149013118068E-2</v>
      </c>
      <c r="S57" s="658">
        <f t="shared" si="48"/>
        <v>137.52374999999938</v>
      </c>
      <c r="T57" s="660">
        <f t="shared" si="31"/>
        <v>2.4999999999999887E-2</v>
      </c>
      <c r="U57" s="661">
        <f t="shared" si="49"/>
        <v>260.42374999999902</v>
      </c>
      <c r="V57" s="662">
        <f t="shared" si="32"/>
        <v>4.8423452738445907E-2</v>
      </c>
      <c r="W57" s="658">
        <f t="shared" si="50"/>
        <v>140.96184374999939</v>
      </c>
      <c r="X57" s="659">
        <f t="shared" si="33"/>
        <v>2.4999999999999894E-2</v>
      </c>
      <c r="Y57" s="663">
        <f t="shared" si="51"/>
        <v>401.38559374999841</v>
      </c>
      <c r="Z57" s="662">
        <f t="shared" si="34"/>
        <v>7.4634039056906951E-2</v>
      </c>
      <c r="AA57" s="661">
        <f t="shared" si="52"/>
        <v>144.48588984374965</v>
      </c>
      <c r="AB57" s="659">
        <f t="shared" si="35"/>
        <v>2.4999999999999946E-2</v>
      </c>
      <c r="AC57" s="663">
        <f t="shared" si="53"/>
        <v>545.87148359374805</v>
      </c>
      <c r="AD57" s="664">
        <f t="shared" si="36"/>
        <v>0.10149989003332956</v>
      </c>
      <c r="AE57" s="237">
        <v>850000</v>
      </c>
      <c r="AF57" s="38"/>
      <c r="AG57" s="38"/>
      <c r="AH57" s="238">
        <v>850000</v>
      </c>
      <c r="AI57" s="658">
        <f t="shared" si="54"/>
        <v>148.09803708984327</v>
      </c>
      <c r="AJ57" s="660">
        <f t="shared" si="37"/>
        <v>2.4999999999999929E-2</v>
      </c>
      <c r="AK57" s="663">
        <f t="shared" si="55"/>
        <v>693.96952068359133</v>
      </c>
      <c r="AL57" s="662">
        <f t="shared" si="38"/>
        <v>0.12903738728416272</v>
      </c>
      <c r="AM57" s="661" t="str">
        <f t="shared" si="56"/>
        <v/>
      </c>
      <c r="AN57" s="660" t="str">
        <f t="shared" si="39"/>
        <v/>
      </c>
      <c r="AO57" s="663" t="str">
        <f t="shared" si="57"/>
        <v/>
      </c>
      <c r="AP57" s="664" t="str">
        <f t="shared" si="40"/>
        <v/>
      </c>
      <c r="AQ57" s="658" t="str">
        <f t="shared" si="58"/>
        <v/>
      </c>
      <c r="AR57" s="660" t="str">
        <f t="shared" si="41"/>
        <v/>
      </c>
      <c r="AS57" s="663" t="str">
        <f t="shared" si="59"/>
        <v/>
      </c>
      <c r="AT57" s="664" t="str">
        <f t="shared" si="42"/>
        <v/>
      </c>
      <c r="AU57" s="304"/>
    </row>
    <row r="58" spans="1:47" ht="13.2" x14ac:dyDescent="0.25">
      <c r="A58" s="26"/>
      <c r="B58" s="38"/>
      <c r="C58" s="570" t="s">
        <v>288</v>
      </c>
      <c r="D58" s="676">
        <f t="shared" si="43"/>
        <v>1</v>
      </c>
      <c r="E58" s="594">
        <v>950000</v>
      </c>
      <c r="F58" s="23">
        <f t="shared" si="44"/>
        <v>5965.35</v>
      </c>
      <c r="G58" s="23">
        <f t="shared" si="45"/>
        <v>6101.65</v>
      </c>
      <c r="H58" s="23">
        <f t="shared" si="46"/>
        <v>6254.1912499999989</v>
      </c>
      <c r="I58" s="23">
        <f t="shared" si="46"/>
        <v>6410.5460312499981</v>
      </c>
      <c r="J58" s="23">
        <f t="shared" si="46"/>
        <v>6570.8096820312476</v>
      </c>
      <c r="K58" s="23">
        <f t="shared" si="46"/>
        <v>6735.0799240820279</v>
      </c>
      <c r="L58" s="23"/>
      <c r="M58" s="571"/>
      <c r="N58" s="38"/>
      <c r="O58" s="38"/>
      <c r="P58" s="236">
        <v>950000</v>
      </c>
      <c r="Q58" s="658">
        <f t="shared" si="47"/>
        <v>136.29999999999927</v>
      </c>
      <c r="R58" s="659">
        <f t="shared" si="30"/>
        <v>2.2848617432338299E-2</v>
      </c>
      <c r="S58" s="658">
        <f t="shared" si="48"/>
        <v>152.54124999999931</v>
      </c>
      <c r="T58" s="660">
        <f t="shared" si="31"/>
        <v>2.4999999999999887E-2</v>
      </c>
      <c r="U58" s="661">
        <f t="shared" si="49"/>
        <v>288.84124999999858</v>
      </c>
      <c r="V58" s="662">
        <f t="shared" si="32"/>
        <v>4.8419832868146641E-2</v>
      </c>
      <c r="W58" s="658">
        <f t="shared" si="50"/>
        <v>156.35478124999918</v>
      </c>
      <c r="X58" s="659">
        <f t="shared" si="33"/>
        <v>2.4999999999999873E-2</v>
      </c>
      <c r="Y58" s="663">
        <f t="shared" si="51"/>
        <v>445.19603124999776</v>
      </c>
      <c r="Z58" s="662">
        <f t="shared" si="34"/>
        <v>7.4630328689850173E-2</v>
      </c>
      <c r="AA58" s="661">
        <f t="shared" si="52"/>
        <v>160.26365078124945</v>
      </c>
      <c r="AB58" s="659">
        <f t="shared" si="35"/>
        <v>2.4999999999999922E-2</v>
      </c>
      <c r="AC58" s="663">
        <f t="shared" si="53"/>
        <v>605.45968203124721</v>
      </c>
      <c r="AD58" s="664">
        <f t="shared" si="36"/>
        <v>0.10149608690709634</v>
      </c>
      <c r="AE58" s="237">
        <v>950000</v>
      </c>
      <c r="AF58" s="38"/>
      <c r="AG58" s="38"/>
      <c r="AH58" s="238">
        <v>950000</v>
      </c>
      <c r="AI58" s="658">
        <f t="shared" si="54"/>
        <v>164.27024205078033</v>
      </c>
      <c r="AJ58" s="660">
        <f t="shared" si="37"/>
        <v>2.499999999999987E-2</v>
      </c>
      <c r="AK58" s="663">
        <f t="shared" si="55"/>
        <v>769.72992408202754</v>
      </c>
      <c r="AL58" s="662">
        <f t="shared" si="38"/>
        <v>0.12903348907977361</v>
      </c>
      <c r="AM58" s="661" t="str">
        <f t="shared" si="56"/>
        <v/>
      </c>
      <c r="AN58" s="660" t="str">
        <f t="shared" si="39"/>
        <v/>
      </c>
      <c r="AO58" s="663" t="str">
        <f t="shared" si="57"/>
        <v/>
      </c>
      <c r="AP58" s="664" t="str">
        <f t="shared" si="40"/>
        <v/>
      </c>
      <c r="AQ58" s="658" t="str">
        <f t="shared" si="58"/>
        <v/>
      </c>
      <c r="AR58" s="660" t="str">
        <f t="shared" si="41"/>
        <v/>
      </c>
      <c r="AS58" s="663" t="str">
        <f t="shared" si="59"/>
        <v/>
      </c>
      <c r="AT58" s="664" t="str">
        <f t="shared" si="42"/>
        <v/>
      </c>
      <c r="AU58" s="304"/>
    </row>
    <row r="59" spans="1:47" ht="13.2" x14ac:dyDescent="0.25">
      <c r="A59" s="26"/>
      <c r="B59" s="38"/>
      <c r="C59" s="570" t="s">
        <v>290</v>
      </c>
      <c r="D59" s="676">
        <f t="shared" si="43"/>
        <v>6</v>
      </c>
      <c r="E59" s="594">
        <v>1250000</v>
      </c>
      <c r="F59" s="23">
        <f t="shared" si="44"/>
        <v>7727.25</v>
      </c>
      <c r="G59" s="23">
        <f t="shared" si="45"/>
        <v>7903.75</v>
      </c>
      <c r="H59" s="23">
        <f t="shared" si="46"/>
        <v>8101.3437499999991</v>
      </c>
      <c r="I59" s="23">
        <f t="shared" si="46"/>
        <v>8303.8773437499985</v>
      </c>
      <c r="J59" s="23">
        <f t="shared" si="46"/>
        <v>8511.4742773437483</v>
      </c>
      <c r="K59" s="23">
        <f t="shared" si="46"/>
        <v>8724.2611342773416</v>
      </c>
      <c r="L59" s="23"/>
      <c r="M59" s="571"/>
      <c r="N59" s="38"/>
      <c r="O59" s="38"/>
      <c r="P59" s="236">
        <v>1250000</v>
      </c>
      <c r="Q59" s="658">
        <f t="shared" si="47"/>
        <v>176.5</v>
      </c>
      <c r="R59" s="659">
        <f t="shared" si="30"/>
        <v>2.284124365071662E-2</v>
      </c>
      <c r="S59" s="658">
        <f t="shared" si="48"/>
        <v>197.59374999999909</v>
      </c>
      <c r="T59" s="660">
        <f t="shared" si="31"/>
        <v>2.4999999999999883E-2</v>
      </c>
      <c r="U59" s="661">
        <f t="shared" si="49"/>
        <v>374.09374999999909</v>
      </c>
      <c r="V59" s="662">
        <f t="shared" si="32"/>
        <v>4.8412274741984417E-2</v>
      </c>
      <c r="W59" s="658">
        <f t="shared" si="50"/>
        <v>202.53359374999945</v>
      </c>
      <c r="X59" s="659">
        <f t="shared" si="33"/>
        <v>2.4999999999999935E-2</v>
      </c>
      <c r="Y59" s="663">
        <f t="shared" si="51"/>
        <v>576.62734374999854</v>
      </c>
      <c r="Z59" s="662">
        <f t="shared" si="34"/>
        <v>7.4622581610533964E-2</v>
      </c>
      <c r="AA59" s="661">
        <f t="shared" si="52"/>
        <v>207.59693359374978</v>
      </c>
      <c r="AB59" s="659">
        <f t="shared" si="35"/>
        <v>2.4999999999999977E-2</v>
      </c>
      <c r="AC59" s="663">
        <f t="shared" si="53"/>
        <v>784.22427734374833</v>
      </c>
      <c r="AD59" s="664">
        <f t="shared" si="36"/>
        <v>0.10148814615079729</v>
      </c>
      <c r="AE59" s="237">
        <v>1250000</v>
      </c>
      <c r="AF59" s="38"/>
      <c r="AG59" s="38"/>
      <c r="AH59" s="238">
        <v>1250000</v>
      </c>
      <c r="AI59" s="658">
        <f t="shared" si="54"/>
        <v>212.7868569335933</v>
      </c>
      <c r="AJ59" s="660">
        <f t="shared" si="37"/>
        <v>2.4999999999999953E-2</v>
      </c>
      <c r="AK59" s="663">
        <f t="shared" si="55"/>
        <v>997.01113427734163</v>
      </c>
      <c r="AL59" s="662">
        <f t="shared" si="38"/>
        <v>0.12902534980456717</v>
      </c>
      <c r="AM59" s="661" t="str">
        <f t="shared" si="56"/>
        <v/>
      </c>
      <c r="AN59" s="660" t="str">
        <f t="shared" si="39"/>
        <v/>
      </c>
      <c r="AO59" s="663" t="str">
        <f t="shared" si="57"/>
        <v/>
      </c>
      <c r="AP59" s="664" t="str">
        <f t="shared" si="40"/>
        <v/>
      </c>
      <c r="AQ59" s="658" t="str">
        <f t="shared" si="58"/>
        <v/>
      </c>
      <c r="AR59" s="660" t="str">
        <f t="shared" si="41"/>
        <v/>
      </c>
      <c r="AS59" s="663" t="str">
        <f t="shared" si="59"/>
        <v/>
      </c>
      <c r="AT59" s="664" t="str">
        <f t="shared" si="42"/>
        <v/>
      </c>
      <c r="AU59" s="304"/>
    </row>
    <row r="60" spans="1:47" ht="13.2" x14ac:dyDescent="0.25">
      <c r="A60" s="26"/>
      <c r="B60" s="38"/>
      <c r="C60" s="570" t="s">
        <v>291</v>
      </c>
      <c r="D60" s="676" t="str">
        <f t="shared" si="43"/>
        <v/>
      </c>
      <c r="E60" s="594">
        <v>1750000</v>
      </c>
      <c r="F60" s="23"/>
      <c r="G60" s="23"/>
      <c r="H60" s="23"/>
      <c r="I60" s="23"/>
      <c r="J60" s="23"/>
      <c r="K60" s="23"/>
      <c r="L60" s="23"/>
      <c r="M60" s="571"/>
      <c r="N60" s="38"/>
      <c r="O60" s="38"/>
      <c r="P60" s="236">
        <v>1750000</v>
      </c>
      <c r="Q60" s="658" t="str">
        <f t="shared" si="47"/>
        <v/>
      </c>
      <c r="R60" s="659" t="str">
        <f t="shared" si="30"/>
        <v/>
      </c>
      <c r="S60" s="658" t="str">
        <f t="shared" si="48"/>
        <v/>
      </c>
      <c r="T60" s="660" t="str">
        <f t="shared" si="31"/>
        <v/>
      </c>
      <c r="U60" s="661" t="str">
        <f t="shared" si="49"/>
        <v/>
      </c>
      <c r="V60" s="662" t="str">
        <f t="shared" si="32"/>
        <v/>
      </c>
      <c r="W60" s="658" t="str">
        <f t="shared" si="50"/>
        <v/>
      </c>
      <c r="X60" s="659" t="str">
        <f t="shared" si="33"/>
        <v/>
      </c>
      <c r="Y60" s="663" t="str">
        <f t="shared" si="51"/>
        <v/>
      </c>
      <c r="Z60" s="662" t="str">
        <f t="shared" si="34"/>
        <v/>
      </c>
      <c r="AA60" s="661" t="str">
        <f t="shared" si="52"/>
        <v/>
      </c>
      <c r="AB60" s="659" t="str">
        <f t="shared" si="35"/>
        <v/>
      </c>
      <c r="AC60" s="663" t="str">
        <f t="shared" si="53"/>
        <v/>
      </c>
      <c r="AD60" s="664" t="str">
        <f t="shared" si="36"/>
        <v/>
      </c>
      <c r="AE60" s="237">
        <v>1750000</v>
      </c>
      <c r="AF60" s="38"/>
      <c r="AG60" s="38"/>
      <c r="AH60" s="238">
        <v>1750000</v>
      </c>
      <c r="AI60" s="658" t="str">
        <f t="shared" si="54"/>
        <v/>
      </c>
      <c r="AJ60" s="660" t="str">
        <f t="shared" si="37"/>
        <v/>
      </c>
      <c r="AK60" s="663" t="str">
        <f t="shared" si="55"/>
        <v/>
      </c>
      <c r="AL60" s="662" t="str">
        <f t="shared" si="38"/>
        <v/>
      </c>
      <c r="AM60" s="661" t="str">
        <f t="shared" si="56"/>
        <v/>
      </c>
      <c r="AN60" s="660" t="str">
        <f t="shared" si="39"/>
        <v/>
      </c>
      <c r="AO60" s="663" t="str">
        <f t="shared" si="57"/>
        <v/>
      </c>
      <c r="AP60" s="664" t="str">
        <f t="shared" si="40"/>
        <v/>
      </c>
      <c r="AQ60" s="658" t="str">
        <f t="shared" si="58"/>
        <v/>
      </c>
      <c r="AR60" s="660" t="str">
        <f t="shared" si="41"/>
        <v/>
      </c>
      <c r="AS60" s="663" t="str">
        <f t="shared" si="59"/>
        <v/>
      </c>
      <c r="AT60" s="664" t="str">
        <f t="shared" si="42"/>
        <v/>
      </c>
      <c r="AU60" s="304"/>
    </row>
    <row r="61" spans="1:47" ht="13.2" x14ac:dyDescent="0.25">
      <c r="A61" s="26"/>
      <c r="B61" s="38"/>
      <c r="C61" s="570" t="s">
        <v>292</v>
      </c>
      <c r="D61" s="676" t="str">
        <f t="shared" si="43"/>
        <v/>
      </c>
      <c r="E61" s="594">
        <v>2500000</v>
      </c>
      <c r="F61" s="23"/>
      <c r="G61" s="23"/>
      <c r="H61" s="23"/>
      <c r="I61" s="23"/>
      <c r="J61" s="23"/>
      <c r="K61" s="23"/>
      <c r="L61" s="23"/>
      <c r="M61" s="571"/>
      <c r="N61" s="38"/>
      <c r="O61" s="38"/>
      <c r="P61" s="236">
        <v>2500000</v>
      </c>
      <c r="Q61" s="658" t="str">
        <f t="shared" si="47"/>
        <v/>
      </c>
      <c r="R61" s="659" t="str">
        <f t="shared" si="30"/>
        <v/>
      </c>
      <c r="S61" s="658" t="str">
        <f t="shared" si="48"/>
        <v/>
      </c>
      <c r="T61" s="660" t="str">
        <f t="shared" si="31"/>
        <v/>
      </c>
      <c r="U61" s="661" t="str">
        <f t="shared" si="49"/>
        <v/>
      </c>
      <c r="V61" s="662" t="str">
        <f t="shared" si="32"/>
        <v/>
      </c>
      <c r="W61" s="658" t="str">
        <f t="shared" si="50"/>
        <v/>
      </c>
      <c r="X61" s="659" t="str">
        <f t="shared" si="33"/>
        <v/>
      </c>
      <c r="Y61" s="663" t="str">
        <f t="shared" si="51"/>
        <v/>
      </c>
      <c r="Z61" s="662" t="str">
        <f t="shared" si="34"/>
        <v/>
      </c>
      <c r="AA61" s="661" t="str">
        <f t="shared" si="52"/>
        <v/>
      </c>
      <c r="AB61" s="659" t="str">
        <f t="shared" si="35"/>
        <v/>
      </c>
      <c r="AC61" s="663" t="str">
        <f t="shared" si="53"/>
        <v/>
      </c>
      <c r="AD61" s="664" t="str">
        <f t="shared" si="36"/>
        <v/>
      </c>
      <c r="AE61" s="237">
        <v>2500000</v>
      </c>
      <c r="AF61" s="38"/>
      <c r="AG61" s="38"/>
      <c r="AH61" s="238">
        <v>2500000</v>
      </c>
      <c r="AI61" s="658" t="str">
        <f t="shared" si="54"/>
        <v/>
      </c>
      <c r="AJ61" s="660" t="str">
        <f t="shared" si="37"/>
        <v/>
      </c>
      <c r="AK61" s="663" t="str">
        <f t="shared" si="55"/>
        <v/>
      </c>
      <c r="AL61" s="662" t="str">
        <f t="shared" si="38"/>
        <v/>
      </c>
      <c r="AM61" s="661" t="str">
        <f t="shared" si="56"/>
        <v/>
      </c>
      <c r="AN61" s="660" t="str">
        <f t="shared" si="39"/>
        <v/>
      </c>
      <c r="AO61" s="663" t="str">
        <f t="shared" si="57"/>
        <v/>
      </c>
      <c r="AP61" s="664" t="str">
        <f t="shared" si="40"/>
        <v/>
      </c>
      <c r="AQ61" s="658" t="str">
        <f t="shared" si="58"/>
        <v/>
      </c>
      <c r="AR61" s="660" t="str">
        <f t="shared" si="41"/>
        <v/>
      </c>
      <c r="AS61" s="663" t="str">
        <f t="shared" si="59"/>
        <v/>
      </c>
      <c r="AT61" s="664" t="str">
        <f t="shared" si="42"/>
        <v/>
      </c>
      <c r="AU61" s="304"/>
    </row>
    <row r="62" spans="1:47" ht="13.8" thickBot="1" x14ac:dyDescent="0.3">
      <c r="A62" s="26"/>
      <c r="B62" s="38"/>
      <c r="C62" s="563" t="s">
        <v>15</v>
      </c>
      <c r="D62" s="677" t="str">
        <f t="shared" si="43"/>
        <v/>
      </c>
      <c r="E62" s="573">
        <v>3000000</v>
      </c>
      <c r="F62" s="574"/>
      <c r="G62" s="574"/>
      <c r="H62" s="574"/>
      <c r="I62" s="574"/>
      <c r="J62" s="574"/>
      <c r="K62" s="574"/>
      <c r="L62" s="574"/>
      <c r="M62" s="575"/>
      <c r="N62" s="38"/>
      <c r="O62" s="38"/>
      <c r="P62" s="239">
        <v>3000000</v>
      </c>
      <c r="Q62" s="665" t="str">
        <f t="shared" si="47"/>
        <v/>
      </c>
      <c r="R62" s="666" t="str">
        <f t="shared" si="30"/>
        <v/>
      </c>
      <c r="S62" s="665" t="str">
        <f t="shared" si="48"/>
        <v/>
      </c>
      <c r="T62" s="667" t="str">
        <f t="shared" si="31"/>
        <v/>
      </c>
      <c r="U62" s="668" t="str">
        <f t="shared" si="49"/>
        <v/>
      </c>
      <c r="V62" s="669" t="str">
        <f t="shared" si="32"/>
        <v/>
      </c>
      <c r="W62" s="665" t="str">
        <f t="shared" si="50"/>
        <v/>
      </c>
      <c r="X62" s="666" t="str">
        <f t="shared" si="33"/>
        <v/>
      </c>
      <c r="Y62" s="670" t="str">
        <f t="shared" si="51"/>
        <v/>
      </c>
      <c r="Z62" s="669" t="str">
        <f t="shared" si="34"/>
        <v/>
      </c>
      <c r="AA62" s="671" t="str">
        <f t="shared" si="52"/>
        <v/>
      </c>
      <c r="AB62" s="672" t="str">
        <f t="shared" si="35"/>
        <v/>
      </c>
      <c r="AC62" s="673" t="str">
        <f t="shared" si="53"/>
        <v/>
      </c>
      <c r="AD62" s="674" t="str">
        <f t="shared" si="36"/>
        <v/>
      </c>
      <c r="AE62" s="240">
        <v>3000000</v>
      </c>
      <c r="AF62" s="38"/>
      <c r="AG62" s="38"/>
      <c r="AH62" s="241">
        <v>3000000</v>
      </c>
      <c r="AI62" s="665" t="str">
        <f t="shared" si="54"/>
        <v/>
      </c>
      <c r="AJ62" s="667" t="str">
        <f t="shared" si="37"/>
        <v/>
      </c>
      <c r="AK62" s="670" t="str">
        <f t="shared" si="55"/>
        <v/>
      </c>
      <c r="AL62" s="669" t="str">
        <f t="shared" si="38"/>
        <v/>
      </c>
      <c r="AM62" s="668" t="str">
        <f t="shared" si="56"/>
        <v/>
      </c>
      <c r="AN62" s="667" t="str">
        <f t="shared" si="39"/>
        <v/>
      </c>
      <c r="AO62" s="670" t="str">
        <f t="shared" si="57"/>
        <v/>
      </c>
      <c r="AP62" s="675" t="str">
        <f t="shared" si="40"/>
        <v/>
      </c>
      <c r="AQ62" s="665" t="str">
        <f t="shared" si="58"/>
        <v/>
      </c>
      <c r="AR62" s="667" t="str">
        <f t="shared" si="41"/>
        <v/>
      </c>
      <c r="AS62" s="670" t="str">
        <f t="shared" si="59"/>
        <v/>
      </c>
      <c r="AT62" s="675" t="str">
        <f t="shared" si="42"/>
        <v/>
      </c>
      <c r="AU62" s="304"/>
    </row>
    <row r="63" spans="1:47" ht="13.8" thickTop="1" x14ac:dyDescent="0.25">
      <c r="A63" s="26"/>
      <c r="B63" s="38"/>
      <c r="C63" s="302"/>
      <c r="D63" s="310"/>
      <c r="E63" s="243"/>
      <c r="F63" s="302"/>
      <c r="G63" s="302"/>
      <c r="H63" s="302"/>
      <c r="I63" s="302"/>
      <c r="J63" s="302"/>
      <c r="K63" s="302"/>
      <c r="L63" s="302"/>
      <c r="M63" s="302"/>
      <c r="N63" s="38"/>
      <c r="O63" s="38"/>
      <c r="P63" s="243"/>
      <c r="Q63" s="303"/>
      <c r="R63" s="304"/>
      <c r="S63" s="303"/>
      <c r="T63" s="304"/>
      <c r="U63" s="303"/>
      <c r="V63" s="304"/>
      <c r="W63" s="303"/>
      <c r="X63" s="304"/>
      <c r="Y63" s="303"/>
      <c r="Z63" s="304"/>
      <c r="AA63" s="305"/>
      <c r="AB63" s="306"/>
      <c r="AC63" s="305"/>
      <c r="AD63" s="306"/>
      <c r="AE63" s="243"/>
      <c r="AF63" s="38"/>
      <c r="AG63" s="38"/>
      <c r="AH63" s="243"/>
      <c r="AI63" s="303"/>
      <c r="AJ63" s="304"/>
      <c r="AK63" s="303"/>
      <c r="AL63" s="304"/>
      <c r="AM63" s="303"/>
      <c r="AN63" s="304"/>
      <c r="AO63" s="303"/>
      <c r="AP63" s="304"/>
      <c r="AQ63" s="303"/>
      <c r="AR63" s="304"/>
      <c r="AS63" s="303"/>
      <c r="AT63" s="304"/>
      <c r="AU63" s="304"/>
    </row>
    <row r="64" spans="1:47" x14ac:dyDescent="0.2">
      <c r="A64" s="26"/>
      <c r="B64" s="38"/>
      <c r="C64" s="38"/>
      <c r="D64" s="38"/>
      <c r="E64" s="213"/>
      <c r="F64" s="38"/>
      <c r="G64" s="38"/>
      <c r="H64" s="38"/>
      <c r="I64" s="38"/>
      <c r="J64" s="38"/>
      <c r="K64" s="38"/>
      <c r="L64" s="38"/>
      <c r="M64" s="38"/>
      <c r="N64" s="38"/>
      <c r="O64" s="38"/>
      <c r="P64" s="38"/>
      <c r="Q64" s="38"/>
      <c r="R64" s="38"/>
      <c r="S64" s="38"/>
      <c r="T64" s="38"/>
      <c r="U64" s="38"/>
      <c r="V64" s="38"/>
      <c r="W64" s="38"/>
      <c r="X64" s="38"/>
      <c r="Y64" s="38"/>
      <c r="Z64" s="38"/>
      <c r="AA64" s="38"/>
      <c r="AB64" s="38"/>
      <c r="AC64" s="38"/>
      <c r="AD64" s="32"/>
      <c r="AE64" s="32"/>
      <c r="AF64" s="32"/>
      <c r="AG64" s="38"/>
      <c r="AH64" s="38"/>
      <c r="AI64" s="38"/>
      <c r="AJ64" s="38"/>
      <c r="AK64" s="38"/>
      <c r="AL64" s="38"/>
      <c r="AM64" s="38"/>
      <c r="AN64" s="38"/>
      <c r="AO64" s="38"/>
      <c r="AP64" s="38"/>
      <c r="AQ64" s="38"/>
      <c r="AR64" s="38"/>
      <c r="AS64" s="38"/>
      <c r="AT64" s="32"/>
      <c r="AU64" s="38"/>
    </row>
    <row r="65" spans="1:47" ht="15.6" x14ac:dyDescent="0.3">
      <c r="A65" s="26"/>
      <c r="B65" s="38"/>
      <c r="C65" s="83" t="s">
        <v>279</v>
      </c>
      <c r="D65" s="38"/>
      <c r="E65" s="213"/>
      <c r="F65" s="38"/>
      <c r="G65" s="38"/>
      <c r="H65" s="38"/>
      <c r="I65" s="38"/>
      <c r="J65" s="38"/>
      <c r="K65" s="38"/>
      <c r="L65" s="38"/>
      <c r="M65" s="38"/>
      <c r="N65" s="38"/>
      <c r="O65" s="38"/>
      <c r="P65" s="83" t="s">
        <v>279</v>
      </c>
      <c r="Q65" s="38"/>
      <c r="R65" s="38"/>
      <c r="S65" s="38"/>
      <c r="T65" s="38"/>
      <c r="U65" s="38"/>
      <c r="V65" s="38"/>
      <c r="W65" s="38"/>
      <c r="X65" s="38"/>
      <c r="Y65" s="38"/>
      <c r="Z65" s="38"/>
      <c r="AA65" s="38"/>
      <c r="AB65" s="38"/>
      <c r="AC65" s="38"/>
      <c r="AD65" s="38"/>
      <c r="AE65" s="38"/>
      <c r="AF65" s="38"/>
      <c r="AG65" s="38"/>
      <c r="AH65" s="83" t="s">
        <v>279</v>
      </c>
      <c r="AI65" s="38"/>
      <c r="AJ65" s="38"/>
      <c r="AK65" s="38"/>
      <c r="AL65" s="38"/>
      <c r="AM65" s="38"/>
      <c r="AN65" s="38"/>
      <c r="AO65" s="38"/>
      <c r="AP65" s="38"/>
      <c r="AQ65" s="38"/>
      <c r="AR65" s="38"/>
      <c r="AS65" s="38"/>
      <c r="AT65" s="38"/>
      <c r="AU65" s="38"/>
    </row>
    <row r="66" spans="1:47" ht="4.5" customHeight="1" thickBot="1" x14ac:dyDescent="0.35">
      <c r="A66" s="26"/>
      <c r="B66" s="38"/>
      <c r="C66" s="83"/>
      <c r="D66" s="38"/>
      <c r="E66" s="213"/>
      <c r="F66" s="38"/>
      <c r="G66" s="38"/>
      <c r="H66" s="38"/>
      <c r="I66" s="38"/>
      <c r="J66" s="38"/>
      <c r="K66" s="38"/>
      <c r="L66" s="38"/>
      <c r="M66" s="38"/>
      <c r="N66" s="38"/>
      <c r="O66" s="38"/>
      <c r="P66" s="38"/>
      <c r="Q66" s="244"/>
      <c r="R66" s="244"/>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row>
    <row r="67" spans="1:47" ht="16.8" thickTop="1" thickBot="1" x14ac:dyDescent="0.35">
      <c r="A67" s="26"/>
      <c r="B67" s="38"/>
      <c r="C67" s="38"/>
      <c r="D67" s="38"/>
      <c r="E67" s="213"/>
      <c r="F67" s="217"/>
      <c r="G67" s="218"/>
      <c r="H67" s="829" t="s">
        <v>302</v>
      </c>
      <c r="I67" s="830"/>
      <c r="J67" s="830"/>
      <c r="K67" s="830"/>
      <c r="L67" s="830"/>
      <c r="M67" s="831"/>
      <c r="N67" s="38"/>
      <c r="O67" s="38"/>
      <c r="P67" s="38"/>
      <c r="Q67" s="820" t="s">
        <v>595</v>
      </c>
      <c r="R67" s="821"/>
      <c r="S67" s="821"/>
      <c r="T67" s="821"/>
      <c r="U67" s="821"/>
      <c r="V67" s="821"/>
      <c r="W67" s="821"/>
      <c r="X67" s="821"/>
      <c r="Y67" s="821"/>
      <c r="Z67" s="821"/>
      <c r="AA67" s="821"/>
      <c r="AB67" s="821"/>
      <c r="AC67" s="821"/>
      <c r="AD67" s="822"/>
      <c r="AE67" s="219"/>
      <c r="AF67" s="38"/>
      <c r="AG67" s="38"/>
      <c r="AH67" s="820" t="s">
        <v>595</v>
      </c>
      <c r="AI67" s="821"/>
      <c r="AJ67" s="821"/>
      <c r="AK67" s="821"/>
      <c r="AL67" s="821"/>
      <c r="AM67" s="821"/>
      <c r="AN67" s="821"/>
      <c r="AO67" s="821"/>
      <c r="AP67" s="821"/>
      <c r="AQ67" s="821"/>
      <c r="AR67" s="821"/>
      <c r="AS67" s="821"/>
      <c r="AT67" s="822"/>
      <c r="AU67" s="309"/>
    </row>
    <row r="68" spans="1:47" ht="54" customHeight="1" thickTop="1" x14ac:dyDescent="0.2">
      <c r="A68" s="26"/>
      <c r="B68" s="38"/>
      <c r="C68" s="577" t="s">
        <v>289</v>
      </c>
      <c r="D68" s="842" t="s">
        <v>581</v>
      </c>
      <c r="E68" s="567" t="s">
        <v>293</v>
      </c>
      <c r="F68" s="592" t="s">
        <v>310</v>
      </c>
      <c r="G68" s="592" t="s">
        <v>608</v>
      </c>
      <c r="H68" s="592" t="s">
        <v>609</v>
      </c>
      <c r="I68" s="592" t="s">
        <v>610</v>
      </c>
      <c r="J68" s="592" t="s">
        <v>611</v>
      </c>
      <c r="K68" s="592" t="s">
        <v>612</v>
      </c>
      <c r="L68" s="592" t="s">
        <v>613</v>
      </c>
      <c r="M68" s="568" t="s">
        <v>614</v>
      </c>
      <c r="N68" s="38"/>
      <c r="O68" s="38"/>
      <c r="P68" s="221" t="s">
        <v>293</v>
      </c>
      <c r="Q68" s="828" t="s">
        <v>294</v>
      </c>
      <c r="R68" s="826"/>
      <c r="S68" s="823" t="s">
        <v>295</v>
      </c>
      <c r="T68" s="824"/>
      <c r="U68" s="824"/>
      <c r="V68" s="825"/>
      <c r="W68" s="796" t="s">
        <v>296</v>
      </c>
      <c r="X68" s="826"/>
      <c r="Y68" s="826"/>
      <c r="Z68" s="826"/>
      <c r="AA68" s="823" t="s">
        <v>297</v>
      </c>
      <c r="AB68" s="824"/>
      <c r="AC68" s="824"/>
      <c r="AD68" s="827"/>
      <c r="AE68" s="245" t="s">
        <v>293</v>
      </c>
      <c r="AF68" s="38"/>
      <c r="AG68" s="38"/>
      <c r="AH68" s="224" t="s">
        <v>293</v>
      </c>
      <c r="AI68" s="823" t="s">
        <v>298</v>
      </c>
      <c r="AJ68" s="824"/>
      <c r="AK68" s="824"/>
      <c r="AL68" s="825"/>
      <c r="AM68" s="823" t="s">
        <v>299</v>
      </c>
      <c r="AN68" s="824"/>
      <c r="AO68" s="824"/>
      <c r="AP68" s="825"/>
      <c r="AQ68" s="796" t="s">
        <v>300</v>
      </c>
      <c r="AR68" s="826"/>
      <c r="AS68" s="826"/>
      <c r="AT68" s="836"/>
      <c r="AU68" s="222"/>
    </row>
    <row r="69" spans="1:47" ht="13.2" x14ac:dyDescent="0.25">
      <c r="A69" s="26"/>
      <c r="B69" s="38"/>
      <c r="C69" s="569"/>
      <c r="D69" s="843"/>
      <c r="E69" s="593"/>
      <c r="F69" s="629" t="str">
        <f>'WK5a - Impact on Rates'!E59</f>
        <v>2017-18</v>
      </c>
      <c r="G69" s="629" t="str">
        <f>'WK5a - Impact on Rates'!F59</f>
        <v>2018-19</v>
      </c>
      <c r="H69" s="629" t="str">
        <f>'WK5a - Impact on Rates'!G59</f>
        <v>2019-20</v>
      </c>
      <c r="I69" s="629" t="str">
        <f>'WK5a - Impact on Rates'!H59</f>
        <v>2020-21</v>
      </c>
      <c r="J69" s="629" t="str">
        <f>'WK5a - Impact on Rates'!I59</f>
        <v>2021-22</v>
      </c>
      <c r="K69" s="629" t="str">
        <f>'WK5a - Impact on Rates'!J59</f>
        <v>2022-23</v>
      </c>
      <c r="L69" s="629" t="str">
        <f>'WK5a - Impact on Rates'!K59</f>
        <v>2023-24</v>
      </c>
      <c r="M69" s="652" t="str">
        <f>'WK5a - Impact on Rates'!L59</f>
        <v>2024-25</v>
      </c>
      <c r="N69" s="38"/>
      <c r="O69" s="38"/>
      <c r="P69" s="225" t="s">
        <v>71</v>
      </c>
      <c r="Q69" s="226" t="s">
        <v>44</v>
      </c>
      <c r="R69" s="227" t="s">
        <v>67</v>
      </c>
      <c r="S69" s="226" t="s">
        <v>44</v>
      </c>
      <c r="T69" s="231" t="s">
        <v>67</v>
      </c>
      <c r="U69" s="228" t="s">
        <v>45</v>
      </c>
      <c r="V69" s="230" t="s">
        <v>67</v>
      </c>
      <c r="W69" s="229" t="s">
        <v>44</v>
      </c>
      <c r="X69" s="231" t="s">
        <v>67</v>
      </c>
      <c r="Y69" s="228" t="s">
        <v>45</v>
      </c>
      <c r="Z69" s="227" t="s">
        <v>67</v>
      </c>
      <c r="AA69" s="226" t="s">
        <v>44</v>
      </c>
      <c r="AB69" s="231" t="s">
        <v>67</v>
      </c>
      <c r="AC69" s="228" t="s">
        <v>45</v>
      </c>
      <c r="AD69" s="232" t="s">
        <v>67</v>
      </c>
      <c r="AE69" s="246"/>
      <c r="AF69" s="38"/>
      <c r="AG69" s="38"/>
      <c r="AH69" s="234" t="s">
        <v>71</v>
      </c>
      <c r="AI69" s="226" t="s">
        <v>44</v>
      </c>
      <c r="AJ69" s="231" t="s">
        <v>67</v>
      </c>
      <c r="AK69" s="228" t="s">
        <v>45</v>
      </c>
      <c r="AL69" s="230" t="s">
        <v>67</v>
      </c>
      <c r="AM69" s="226" t="s">
        <v>44</v>
      </c>
      <c r="AN69" s="231" t="s">
        <v>67</v>
      </c>
      <c r="AO69" s="228" t="s">
        <v>45</v>
      </c>
      <c r="AP69" s="230" t="s">
        <v>67</v>
      </c>
      <c r="AQ69" s="229" t="s">
        <v>44</v>
      </c>
      <c r="AR69" s="231" t="s">
        <v>67</v>
      </c>
      <c r="AS69" s="228" t="s">
        <v>45</v>
      </c>
      <c r="AT69" s="232" t="s">
        <v>67</v>
      </c>
      <c r="AU69" s="308"/>
    </row>
    <row r="70" spans="1:47" ht="13.2" x14ac:dyDescent="0.25">
      <c r="A70" s="26"/>
      <c r="B70" s="38"/>
      <c r="C70" s="570" t="s">
        <v>14</v>
      </c>
      <c r="D70" s="23">
        <v>212</v>
      </c>
      <c r="E70" s="594">
        <v>50000</v>
      </c>
      <c r="F70" s="23">
        <f>E70*1.525/100+386</f>
        <v>1148.5</v>
      </c>
      <c r="G70" s="23">
        <f>E70*1.5606/100+395</f>
        <v>1175.3</v>
      </c>
      <c r="H70" s="23">
        <f>G70*1.025</f>
        <v>1204.6824999999999</v>
      </c>
      <c r="I70" s="23">
        <f>H70*1.025</f>
        <v>1234.7995624999999</v>
      </c>
      <c r="J70" s="23">
        <f>I70*1.025</f>
        <v>1265.6695515624997</v>
      </c>
      <c r="K70" s="23">
        <f>J70*1.025</f>
        <v>1297.3112903515621</v>
      </c>
      <c r="L70" s="23"/>
      <c r="M70" s="23"/>
      <c r="N70" s="38"/>
      <c r="O70" s="38"/>
      <c r="P70" s="236">
        <v>50000</v>
      </c>
      <c r="Q70" s="658">
        <f>IF(G70="","",IF(F70=0,"",G70-F70))</f>
        <v>26.799999999999955</v>
      </c>
      <c r="R70" s="659">
        <f t="shared" ref="R70:R83" si="60">IF(Q70="","",Q70/F70)</f>
        <v>2.3334784501523688E-2</v>
      </c>
      <c r="S70" s="658">
        <f>IF(H70="","",IF(G70=0,"",H70-G70))</f>
        <v>29.382499999999936</v>
      </c>
      <c r="T70" s="659">
        <f t="shared" ref="T70:T83" si="61">IF(S70="","",S70/G70)</f>
        <v>2.4999999999999946E-2</v>
      </c>
      <c r="U70" s="663">
        <f>IF(S70="","",S70+Q70)</f>
        <v>56.182499999999891</v>
      </c>
      <c r="V70" s="662">
        <f t="shared" ref="V70:V83" si="62">IF(T70="","",U70/F70)</f>
        <v>4.8918154114061724E-2</v>
      </c>
      <c r="W70" s="661">
        <f>IF(I70="","",IF(H70=0,"",I70-H70))</f>
        <v>30.117062499999975</v>
      </c>
      <c r="X70" s="659">
        <f t="shared" ref="X70:X83" si="63">IF(W70="","",W70/H70)</f>
        <v>2.4999999999999981E-2</v>
      </c>
      <c r="Y70" s="663">
        <f>IF(W70="","",W70+U70)</f>
        <v>86.299562499999865</v>
      </c>
      <c r="Z70" s="659">
        <f t="shared" ref="Z70:Z83" si="64">IF(X70="","",Y70/F70)</f>
        <v>7.5141107966913243E-2</v>
      </c>
      <c r="AA70" s="658">
        <f>IF(J70="","",IF(I70=0,"",J70-I70))</f>
        <v>30.869989062499826</v>
      </c>
      <c r="AB70" s="659">
        <f t="shared" ref="AB70:AB83" si="65">IF(AA70="","",AA70/I70)</f>
        <v>2.4999999999999863E-2</v>
      </c>
      <c r="AC70" s="663">
        <f>IF(AA70="","",AA70+Y70)</f>
        <v>117.16955156249969</v>
      </c>
      <c r="AD70" s="664">
        <f t="shared" ref="AD70:AD83" si="66">IF(AB70="","",AC70/F70)</f>
        <v>0.10201963566608593</v>
      </c>
      <c r="AE70" s="247">
        <v>50000</v>
      </c>
      <c r="AF70" s="38"/>
      <c r="AG70" s="38"/>
      <c r="AH70" s="238">
        <v>50000</v>
      </c>
      <c r="AI70" s="658">
        <f>IF(K70="","",IF(J70=0,"",K70-J70))</f>
        <v>31.641738789062401</v>
      </c>
      <c r="AJ70" s="659">
        <f t="shared" ref="AJ70:AJ83" si="67">IF(AI70="","",AI70/J70)</f>
        <v>2.4999999999999929E-2</v>
      </c>
      <c r="AK70" s="663">
        <f t="shared" ref="AK70:AK83" si="68">IF(AI70="","",AI70+AC70)</f>
        <v>148.81129035156209</v>
      </c>
      <c r="AL70" s="662">
        <f t="shared" ref="AL70:AL83" si="69">IF(AK70="","",AK70/F70)</f>
        <v>0.129570126557738</v>
      </c>
      <c r="AM70" s="658" t="str">
        <f>IF(L70="","",IF(K70=0,"",L70-K70))</f>
        <v/>
      </c>
      <c r="AN70" s="659" t="str">
        <f t="shared" ref="AN70:AN83" si="70">IF(AM70="","",AM70/K70)</f>
        <v/>
      </c>
      <c r="AO70" s="663" t="str">
        <f t="shared" ref="AO70:AO83" si="71">IF(AM70="","",AM70+AK70)</f>
        <v/>
      </c>
      <c r="AP70" s="662" t="str">
        <f t="shared" ref="AP70:AP83" si="72">IF(AO70="","",AO70/F70)</f>
        <v/>
      </c>
      <c r="AQ70" s="661" t="str">
        <f>IF(M70="","",IF(L70=0,"",M70-L70))</f>
        <v/>
      </c>
      <c r="AR70" s="660" t="str">
        <f t="shared" ref="AR70:AR83" si="73">IF(AQ70="","",AQ70/L70)</f>
        <v/>
      </c>
      <c r="AS70" s="661" t="str">
        <f t="shared" ref="AS70:AS83" si="74">IF(AQ70="","",AQ70+AO70)</f>
        <v/>
      </c>
      <c r="AT70" s="664" t="str">
        <f t="shared" ref="AT70:AT83" si="75">IF(AS70="","",AS70/F70)</f>
        <v/>
      </c>
      <c r="AU70" s="304"/>
    </row>
    <row r="71" spans="1:47" ht="13.2" x14ac:dyDescent="0.25">
      <c r="A71" s="26"/>
      <c r="B71" s="38"/>
      <c r="C71" s="570" t="s">
        <v>280</v>
      </c>
      <c r="D71" s="174">
        <v>328</v>
      </c>
      <c r="E71" s="594">
        <v>150000</v>
      </c>
      <c r="F71" s="23">
        <f t="shared" ref="F71:F83" si="76">E71*1.525/100+386</f>
        <v>2673.5</v>
      </c>
      <c r="G71" s="23">
        <f t="shared" ref="G71:G83" si="77">E71*1.5606/100+395</f>
        <v>2735.9</v>
      </c>
      <c r="H71" s="23">
        <f t="shared" ref="H71:K83" si="78">G71*1.025</f>
        <v>2804.2974999999997</v>
      </c>
      <c r="I71" s="23">
        <f t="shared" si="78"/>
        <v>2874.4049374999995</v>
      </c>
      <c r="J71" s="23">
        <f t="shared" si="78"/>
        <v>2946.2650609374991</v>
      </c>
      <c r="K71" s="23">
        <f t="shared" si="78"/>
        <v>3019.9216874609365</v>
      </c>
      <c r="L71" s="23"/>
      <c r="M71" s="23"/>
      <c r="N71" s="38"/>
      <c r="O71" s="38"/>
      <c r="P71" s="236">
        <v>150000</v>
      </c>
      <c r="Q71" s="658">
        <f t="shared" ref="Q71:Q83" si="79">IF(G71="","",IF(F71=0,"",G71-F71))</f>
        <v>62.400000000000091</v>
      </c>
      <c r="R71" s="659">
        <f t="shared" si="60"/>
        <v>2.3340190761174523E-2</v>
      </c>
      <c r="S71" s="658">
        <f t="shared" ref="S71:S83" si="80">IF(H71="","",IF(G71=0,"",H71-G71))</f>
        <v>68.397499999999582</v>
      </c>
      <c r="T71" s="659">
        <f t="shared" si="61"/>
        <v>2.4999999999999845E-2</v>
      </c>
      <c r="U71" s="663">
        <f t="shared" ref="U71:U83" si="81">IF(S71="","",S71+Q71)</f>
        <v>130.79749999999967</v>
      </c>
      <c r="V71" s="662">
        <f t="shared" si="62"/>
        <v>4.8923695530203731E-2</v>
      </c>
      <c r="W71" s="661">
        <f t="shared" ref="W71:W83" si="82">IF(I71="","",IF(H71=0,"",I71-H71))</f>
        <v>70.107437499999833</v>
      </c>
      <c r="X71" s="659">
        <f t="shared" si="63"/>
        <v>2.4999999999999942E-2</v>
      </c>
      <c r="Y71" s="663">
        <f t="shared" ref="Y71:Y83" si="83">IF(W71="","",W71+U71)</f>
        <v>200.90493749999951</v>
      </c>
      <c r="Z71" s="659">
        <f t="shared" si="64"/>
        <v>7.514678791845876E-2</v>
      </c>
      <c r="AA71" s="658">
        <f t="shared" ref="AA71:AA83" si="84">IF(J71="","",IF(I71=0,"",J71-I71))</f>
        <v>71.860123437499624</v>
      </c>
      <c r="AB71" s="659">
        <f t="shared" si="65"/>
        <v>2.4999999999999873E-2</v>
      </c>
      <c r="AC71" s="663">
        <f t="shared" ref="AC71:AC83" si="85">IF(AA71="","",AA71+Y71)</f>
        <v>272.76506093749913</v>
      </c>
      <c r="AD71" s="664">
        <f t="shared" si="66"/>
        <v>0.1020254576164201</v>
      </c>
      <c r="AE71" s="247">
        <v>150000</v>
      </c>
      <c r="AF71" s="38"/>
      <c r="AG71" s="38"/>
      <c r="AH71" s="238">
        <v>150000</v>
      </c>
      <c r="AI71" s="658">
        <f t="shared" ref="AI71:AI83" si="86">IF(K71="","",IF(J71=0,"",K71-J71))</f>
        <v>73.656626523437353</v>
      </c>
      <c r="AJ71" s="659">
        <f t="shared" si="67"/>
        <v>2.4999999999999956E-2</v>
      </c>
      <c r="AK71" s="663">
        <f t="shared" si="68"/>
        <v>346.42168746093648</v>
      </c>
      <c r="AL71" s="662">
        <f t="shared" si="69"/>
        <v>0.12957609405683054</v>
      </c>
      <c r="AM71" s="658" t="str">
        <f t="shared" ref="AM71:AM83" si="87">IF(L71="","",IF(K71=0,"",L71-K71))</f>
        <v/>
      </c>
      <c r="AN71" s="659" t="str">
        <f t="shared" si="70"/>
        <v/>
      </c>
      <c r="AO71" s="663" t="str">
        <f t="shared" si="71"/>
        <v/>
      </c>
      <c r="AP71" s="662" t="str">
        <f t="shared" si="72"/>
        <v/>
      </c>
      <c r="AQ71" s="661" t="str">
        <f t="shared" ref="AQ71:AQ83" si="88">IF(M71="","",IF(L71=0,"",M71-L71))</f>
        <v/>
      </c>
      <c r="AR71" s="660" t="str">
        <f t="shared" si="73"/>
        <v/>
      </c>
      <c r="AS71" s="661" t="str">
        <f t="shared" si="74"/>
        <v/>
      </c>
      <c r="AT71" s="664" t="str">
        <f t="shared" si="75"/>
        <v/>
      </c>
      <c r="AU71" s="304"/>
    </row>
    <row r="72" spans="1:47" ht="13.2" x14ac:dyDescent="0.25">
      <c r="A72" s="26"/>
      <c r="B72" s="38"/>
      <c r="C72" s="570" t="s">
        <v>281</v>
      </c>
      <c r="D72" s="174">
        <v>137</v>
      </c>
      <c r="E72" s="594">
        <v>250000</v>
      </c>
      <c r="F72" s="23">
        <f t="shared" si="76"/>
        <v>4198.5</v>
      </c>
      <c r="G72" s="23">
        <f t="shared" si="77"/>
        <v>4296.5</v>
      </c>
      <c r="H72" s="23">
        <f t="shared" si="78"/>
        <v>4403.9124999999995</v>
      </c>
      <c r="I72" s="23">
        <f t="shared" si="78"/>
        <v>4514.0103124999987</v>
      </c>
      <c r="J72" s="23">
        <f t="shared" si="78"/>
        <v>4626.8605703124986</v>
      </c>
      <c r="K72" s="23">
        <f t="shared" si="78"/>
        <v>4742.5320845703109</v>
      </c>
      <c r="L72" s="23"/>
      <c r="M72" s="23"/>
      <c r="N72" s="38"/>
      <c r="O72" s="38"/>
      <c r="P72" s="236">
        <v>250000</v>
      </c>
      <c r="Q72" s="658">
        <f t="shared" si="79"/>
        <v>98</v>
      </c>
      <c r="R72" s="659">
        <f t="shared" si="60"/>
        <v>2.3341669643920447E-2</v>
      </c>
      <c r="S72" s="658">
        <f t="shared" si="80"/>
        <v>107.41249999999945</v>
      </c>
      <c r="T72" s="659">
        <f t="shared" si="61"/>
        <v>2.4999999999999873E-2</v>
      </c>
      <c r="U72" s="663">
        <f t="shared" si="81"/>
        <v>205.41249999999945</v>
      </c>
      <c r="V72" s="662">
        <f t="shared" si="62"/>
        <v>4.8925211385018326E-2</v>
      </c>
      <c r="W72" s="661">
        <f t="shared" si="82"/>
        <v>110.09781249999924</v>
      </c>
      <c r="X72" s="659">
        <f t="shared" si="63"/>
        <v>2.4999999999999828E-2</v>
      </c>
      <c r="Y72" s="663">
        <f t="shared" si="83"/>
        <v>315.51031249999869</v>
      </c>
      <c r="Z72" s="659">
        <f t="shared" si="64"/>
        <v>7.5148341669643612E-2</v>
      </c>
      <c r="AA72" s="658">
        <f t="shared" si="84"/>
        <v>112.85025781249988</v>
      </c>
      <c r="AB72" s="659">
        <f t="shared" si="65"/>
        <v>2.4999999999999981E-2</v>
      </c>
      <c r="AC72" s="663">
        <f t="shared" si="85"/>
        <v>428.36057031249857</v>
      </c>
      <c r="AD72" s="664">
        <f t="shared" si="66"/>
        <v>0.10202705021138468</v>
      </c>
      <c r="AE72" s="247">
        <v>250000</v>
      </c>
      <c r="AF72" s="38"/>
      <c r="AG72" s="38"/>
      <c r="AH72" s="238">
        <v>250000</v>
      </c>
      <c r="AI72" s="658">
        <f t="shared" si="86"/>
        <v>115.67151425781231</v>
      </c>
      <c r="AJ72" s="659">
        <f t="shared" si="67"/>
        <v>2.4999999999999967E-2</v>
      </c>
      <c r="AK72" s="663">
        <f t="shared" si="68"/>
        <v>544.03208457031087</v>
      </c>
      <c r="AL72" s="662">
        <f t="shared" si="69"/>
        <v>0.12957772646666926</v>
      </c>
      <c r="AM72" s="658" t="str">
        <f t="shared" si="87"/>
        <v/>
      </c>
      <c r="AN72" s="659" t="str">
        <f t="shared" si="70"/>
        <v/>
      </c>
      <c r="AO72" s="663" t="str">
        <f t="shared" si="71"/>
        <v/>
      </c>
      <c r="AP72" s="662" t="str">
        <f t="shared" si="72"/>
        <v/>
      </c>
      <c r="AQ72" s="661" t="str">
        <f t="shared" si="88"/>
        <v/>
      </c>
      <c r="AR72" s="660" t="str">
        <f t="shared" si="73"/>
        <v/>
      </c>
      <c r="AS72" s="661" t="str">
        <f t="shared" si="74"/>
        <v/>
      </c>
      <c r="AT72" s="664" t="str">
        <f t="shared" si="75"/>
        <v/>
      </c>
      <c r="AU72" s="304"/>
    </row>
    <row r="73" spans="1:47" ht="13.2" x14ac:dyDescent="0.25">
      <c r="A73" s="26"/>
      <c r="B73" s="38"/>
      <c r="C73" s="570" t="s">
        <v>282</v>
      </c>
      <c r="D73" s="174">
        <v>69</v>
      </c>
      <c r="E73" s="594">
        <v>350000</v>
      </c>
      <c r="F73" s="23">
        <f t="shared" si="76"/>
        <v>5723.5</v>
      </c>
      <c r="G73" s="23">
        <f t="shared" si="77"/>
        <v>5857.1</v>
      </c>
      <c r="H73" s="23">
        <f t="shared" si="78"/>
        <v>6003.5275000000001</v>
      </c>
      <c r="I73" s="23">
        <f t="shared" si="78"/>
        <v>6153.6156874999997</v>
      </c>
      <c r="J73" s="23">
        <f t="shared" si="78"/>
        <v>6307.4560796874994</v>
      </c>
      <c r="K73" s="23">
        <f t="shared" si="78"/>
        <v>6465.1424816796862</v>
      </c>
      <c r="L73" s="23"/>
      <c r="M73" s="571"/>
      <c r="N73" s="38"/>
      <c r="O73" s="38"/>
      <c r="P73" s="236">
        <v>350000</v>
      </c>
      <c r="Q73" s="658">
        <f t="shared" si="79"/>
        <v>133.60000000000036</v>
      </c>
      <c r="R73" s="659">
        <f t="shared" si="60"/>
        <v>2.334236044378446E-2</v>
      </c>
      <c r="S73" s="658">
        <f t="shared" si="80"/>
        <v>146.42749999999978</v>
      </c>
      <c r="T73" s="659">
        <f t="shared" si="61"/>
        <v>2.499999999999996E-2</v>
      </c>
      <c r="U73" s="663">
        <f t="shared" si="81"/>
        <v>280.02750000000015</v>
      </c>
      <c r="V73" s="662">
        <f t="shared" si="62"/>
        <v>4.8925919454879035E-2</v>
      </c>
      <c r="W73" s="661">
        <f t="shared" si="82"/>
        <v>150.08818749999955</v>
      </c>
      <c r="X73" s="659">
        <f t="shared" si="63"/>
        <v>2.4999999999999925E-2</v>
      </c>
      <c r="Y73" s="663">
        <f t="shared" si="83"/>
        <v>430.11568749999969</v>
      </c>
      <c r="Z73" s="659">
        <f t="shared" si="64"/>
        <v>7.5149067441250925E-2</v>
      </c>
      <c r="AA73" s="658">
        <f t="shared" si="84"/>
        <v>153.84039218749967</v>
      </c>
      <c r="AB73" s="659">
        <f t="shared" si="65"/>
        <v>2.4999999999999949E-2</v>
      </c>
      <c r="AC73" s="663">
        <f t="shared" si="85"/>
        <v>583.95607968749937</v>
      </c>
      <c r="AD73" s="664">
        <f t="shared" si="66"/>
        <v>0.10202779412728215</v>
      </c>
      <c r="AE73" s="247">
        <v>350000</v>
      </c>
      <c r="AF73" s="38"/>
      <c r="AG73" s="38"/>
      <c r="AH73" s="238">
        <v>350000</v>
      </c>
      <c r="AI73" s="658">
        <f t="shared" si="86"/>
        <v>157.6864019921868</v>
      </c>
      <c r="AJ73" s="659">
        <f t="shared" si="67"/>
        <v>2.499999999999989E-2</v>
      </c>
      <c r="AK73" s="663">
        <f t="shared" si="68"/>
        <v>741.64248167968617</v>
      </c>
      <c r="AL73" s="662">
        <f t="shared" si="69"/>
        <v>0.12957848898046409</v>
      </c>
      <c r="AM73" s="658" t="str">
        <f t="shared" si="87"/>
        <v/>
      </c>
      <c r="AN73" s="659" t="str">
        <f t="shared" si="70"/>
        <v/>
      </c>
      <c r="AO73" s="663" t="str">
        <f t="shared" si="71"/>
        <v/>
      </c>
      <c r="AP73" s="662" t="str">
        <f t="shared" si="72"/>
        <v/>
      </c>
      <c r="AQ73" s="661" t="str">
        <f t="shared" si="88"/>
        <v/>
      </c>
      <c r="AR73" s="660" t="str">
        <f t="shared" si="73"/>
        <v/>
      </c>
      <c r="AS73" s="661" t="str">
        <f t="shared" si="74"/>
        <v/>
      </c>
      <c r="AT73" s="664" t="str">
        <f t="shared" si="75"/>
        <v/>
      </c>
      <c r="AU73" s="304"/>
    </row>
    <row r="74" spans="1:47" ht="13.2" x14ac:dyDescent="0.25">
      <c r="A74" s="26"/>
      <c r="B74" s="38"/>
      <c r="C74" s="570" t="s">
        <v>283</v>
      </c>
      <c r="D74" s="174">
        <v>36</v>
      </c>
      <c r="E74" s="594">
        <v>450000</v>
      </c>
      <c r="F74" s="23">
        <f t="shared" si="76"/>
        <v>7248.5</v>
      </c>
      <c r="G74" s="23">
        <f t="shared" si="77"/>
        <v>7417.7</v>
      </c>
      <c r="H74" s="23">
        <f t="shared" si="78"/>
        <v>7603.142499999999</v>
      </c>
      <c r="I74" s="23">
        <f t="shared" si="78"/>
        <v>7793.221062499998</v>
      </c>
      <c r="J74" s="23">
        <f t="shared" si="78"/>
        <v>7988.0515890624974</v>
      </c>
      <c r="K74" s="23">
        <f t="shared" si="78"/>
        <v>8187.7528787890587</v>
      </c>
      <c r="L74" s="23"/>
      <c r="M74" s="571"/>
      <c r="N74" s="38"/>
      <c r="O74" s="38"/>
      <c r="P74" s="236">
        <v>450000</v>
      </c>
      <c r="Q74" s="658">
        <f t="shared" si="79"/>
        <v>169.19999999999982</v>
      </c>
      <c r="R74" s="659">
        <f t="shared" si="60"/>
        <v>2.3342760571152626E-2</v>
      </c>
      <c r="S74" s="658">
        <f t="shared" si="80"/>
        <v>185.4424999999992</v>
      </c>
      <c r="T74" s="659">
        <f t="shared" si="61"/>
        <v>2.4999999999999894E-2</v>
      </c>
      <c r="U74" s="663">
        <f t="shared" si="81"/>
        <v>354.64249999999902</v>
      </c>
      <c r="V74" s="662">
        <f t="shared" si="62"/>
        <v>4.8926329585431333E-2</v>
      </c>
      <c r="W74" s="661">
        <f t="shared" si="82"/>
        <v>190.07856249999895</v>
      </c>
      <c r="X74" s="659">
        <f t="shared" si="63"/>
        <v>2.4999999999999866E-2</v>
      </c>
      <c r="Y74" s="663">
        <f t="shared" si="83"/>
        <v>544.72106249999797</v>
      </c>
      <c r="Z74" s="659">
        <f t="shared" si="64"/>
        <v>7.5149487825066974E-2</v>
      </c>
      <c r="AA74" s="658">
        <f t="shared" si="84"/>
        <v>194.83052656249947</v>
      </c>
      <c r="AB74" s="659">
        <f t="shared" si="65"/>
        <v>2.4999999999999939E-2</v>
      </c>
      <c r="AC74" s="663">
        <f t="shared" si="85"/>
        <v>739.55158906249744</v>
      </c>
      <c r="AD74" s="664">
        <f t="shared" si="66"/>
        <v>0.10202822502069359</v>
      </c>
      <c r="AE74" s="247">
        <v>450000</v>
      </c>
      <c r="AF74" s="38"/>
      <c r="AG74" s="38"/>
      <c r="AH74" s="238">
        <v>450000</v>
      </c>
      <c r="AI74" s="658">
        <f t="shared" si="86"/>
        <v>199.7012897265613</v>
      </c>
      <c r="AJ74" s="659">
        <f t="shared" si="67"/>
        <v>2.4999999999999859E-2</v>
      </c>
      <c r="AK74" s="663">
        <f t="shared" si="68"/>
        <v>939.25287878905874</v>
      </c>
      <c r="AL74" s="662">
        <f t="shared" si="69"/>
        <v>0.12957893064621076</v>
      </c>
      <c r="AM74" s="658" t="str">
        <f t="shared" si="87"/>
        <v/>
      </c>
      <c r="AN74" s="659" t="str">
        <f t="shared" si="70"/>
        <v/>
      </c>
      <c r="AO74" s="663" t="str">
        <f t="shared" si="71"/>
        <v/>
      </c>
      <c r="AP74" s="662" t="str">
        <f t="shared" si="72"/>
        <v/>
      </c>
      <c r="AQ74" s="661" t="str">
        <f t="shared" si="88"/>
        <v/>
      </c>
      <c r="AR74" s="660" t="str">
        <f t="shared" si="73"/>
        <v/>
      </c>
      <c r="AS74" s="661" t="str">
        <f t="shared" si="74"/>
        <v/>
      </c>
      <c r="AT74" s="664" t="str">
        <f t="shared" si="75"/>
        <v/>
      </c>
      <c r="AU74" s="304"/>
    </row>
    <row r="75" spans="1:47" ht="13.2" x14ac:dyDescent="0.25">
      <c r="A75" s="26"/>
      <c r="B75" s="38"/>
      <c r="C75" s="570" t="s">
        <v>284</v>
      </c>
      <c r="D75" s="174">
        <v>20</v>
      </c>
      <c r="E75" s="594">
        <v>550000</v>
      </c>
      <c r="F75" s="23">
        <f t="shared" si="76"/>
        <v>8773.5</v>
      </c>
      <c r="G75" s="23">
        <f t="shared" si="77"/>
        <v>8978.2999999999993</v>
      </c>
      <c r="H75" s="23">
        <f t="shared" si="78"/>
        <v>9202.7574999999979</v>
      </c>
      <c r="I75" s="23">
        <f t="shared" si="78"/>
        <v>9432.8264374999962</v>
      </c>
      <c r="J75" s="23">
        <f t="shared" si="78"/>
        <v>9668.6470984374955</v>
      </c>
      <c r="K75" s="23">
        <f t="shared" si="78"/>
        <v>9910.3632758984313</v>
      </c>
      <c r="L75" s="23"/>
      <c r="M75" s="571"/>
      <c r="N75" s="38"/>
      <c r="O75" s="38"/>
      <c r="P75" s="236">
        <v>550000</v>
      </c>
      <c r="Q75" s="658">
        <f t="shared" si="79"/>
        <v>204.79999999999927</v>
      </c>
      <c r="R75" s="659">
        <f t="shared" si="60"/>
        <v>2.3343021599133672E-2</v>
      </c>
      <c r="S75" s="658">
        <f t="shared" si="80"/>
        <v>224.45749999999862</v>
      </c>
      <c r="T75" s="659">
        <f t="shared" si="61"/>
        <v>2.4999999999999849E-2</v>
      </c>
      <c r="U75" s="663">
        <f t="shared" si="81"/>
        <v>429.25749999999789</v>
      </c>
      <c r="V75" s="662">
        <f t="shared" si="62"/>
        <v>4.8926597139111856E-2</v>
      </c>
      <c r="W75" s="661">
        <f t="shared" si="82"/>
        <v>230.06893749999836</v>
      </c>
      <c r="X75" s="659">
        <f t="shared" si="63"/>
        <v>2.4999999999999828E-2</v>
      </c>
      <c r="Y75" s="663">
        <f t="shared" si="83"/>
        <v>659.32643749999625</v>
      </c>
      <c r="Z75" s="659">
        <f t="shared" si="64"/>
        <v>7.5149762067589471E-2</v>
      </c>
      <c r="AA75" s="658">
        <f t="shared" si="84"/>
        <v>235.82066093749927</v>
      </c>
      <c r="AB75" s="659">
        <f t="shared" si="65"/>
        <v>2.4999999999999932E-2</v>
      </c>
      <c r="AC75" s="663">
        <f t="shared" si="85"/>
        <v>895.14709843749552</v>
      </c>
      <c r="AD75" s="664">
        <f t="shared" si="66"/>
        <v>0.10202850611927913</v>
      </c>
      <c r="AE75" s="247">
        <v>550000</v>
      </c>
      <c r="AF75" s="38"/>
      <c r="AG75" s="38"/>
      <c r="AH75" s="238">
        <v>550000</v>
      </c>
      <c r="AI75" s="658">
        <f t="shared" si="86"/>
        <v>241.7161774609358</v>
      </c>
      <c r="AJ75" s="659">
        <f t="shared" si="67"/>
        <v>2.4999999999999835E-2</v>
      </c>
      <c r="AK75" s="663">
        <f t="shared" si="68"/>
        <v>1136.8632758984313</v>
      </c>
      <c r="AL75" s="662">
        <f t="shared" si="69"/>
        <v>0.12957921877226095</v>
      </c>
      <c r="AM75" s="658" t="str">
        <f t="shared" si="87"/>
        <v/>
      </c>
      <c r="AN75" s="659" t="str">
        <f t="shared" si="70"/>
        <v/>
      </c>
      <c r="AO75" s="663" t="str">
        <f t="shared" si="71"/>
        <v/>
      </c>
      <c r="AP75" s="662" t="str">
        <f t="shared" si="72"/>
        <v/>
      </c>
      <c r="AQ75" s="661" t="str">
        <f t="shared" si="88"/>
        <v/>
      </c>
      <c r="AR75" s="660" t="str">
        <f t="shared" si="73"/>
        <v/>
      </c>
      <c r="AS75" s="661" t="str">
        <f t="shared" si="74"/>
        <v/>
      </c>
      <c r="AT75" s="664" t="str">
        <f t="shared" si="75"/>
        <v/>
      </c>
      <c r="AU75" s="304"/>
    </row>
    <row r="76" spans="1:47" ht="13.2" x14ac:dyDescent="0.25">
      <c r="A76" s="26"/>
      <c r="B76" s="38"/>
      <c r="C76" s="570" t="s">
        <v>285</v>
      </c>
      <c r="D76" s="174">
        <v>10</v>
      </c>
      <c r="E76" s="594">
        <v>650000</v>
      </c>
      <c r="F76" s="23">
        <f t="shared" si="76"/>
        <v>10298.5</v>
      </c>
      <c r="G76" s="23">
        <f t="shared" si="77"/>
        <v>10538.9</v>
      </c>
      <c r="H76" s="23">
        <f t="shared" si="78"/>
        <v>10802.372499999999</v>
      </c>
      <c r="I76" s="23">
        <f t="shared" si="78"/>
        <v>11072.431812499999</v>
      </c>
      <c r="J76" s="23">
        <f t="shared" si="78"/>
        <v>11349.242607812497</v>
      </c>
      <c r="K76" s="23">
        <f t="shared" si="78"/>
        <v>11632.973673007809</v>
      </c>
      <c r="L76" s="23"/>
      <c r="M76" s="571"/>
      <c r="N76" s="38"/>
      <c r="O76" s="38"/>
      <c r="P76" s="236">
        <v>650000</v>
      </c>
      <c r="Q76" s="658">
        <f t="shared" si="79"/>
        <v>240.39999999999964</v>
      </c>
      <c r="R76" s="659">
        <f t="shared" si="60"/>
        <v>2.3343205321163241E-2</v>
      </c>
      <c r="S76" s="658">
        <f t="shared" si="80"/>
        <v>263.47249999999985</v>
      </c>
      <c r="T76" s="659">
        <f t="shared" si="61"/>
        <v>2.4999999999999988E-2</v>
      </c>
      <c r="U76" s="663">
        <f t="shared" si="81"/>
        <v>503.87249999999949</v>
      </c>
      <c r="V76" s="662">
        <f t="shared" si="62"/>
        <v>4.8926785454192309E-2</v>
      </c>
      <c r="W76" s="661">
        <f t="shared" si="82"/>
        <v>270.05931249999958</v>
      </c>
      <c r="X76" s="659">
        <f t="shared" si="63"/>
        <v>2.4999999999999963E-2</v>
      </c>
      <c r="Y76" s="663">
        <f t="shared" si="83"/>
        <v>773.93181249999907</v>
      </c>
      <c r="Z76" s="659">
        <f t="shared" si="64"/>
        <v>7.5149955090547074E-2</v>
      </c>
      <c r="AA76" s="658">
        <f t="shared" si="84"/>
        <v>276.81079531249816</v>
      </c>
      <c r="AB76" s="659">
        <f t="shared" si="65"/>
        <v>2.4999999999999835E-2</v>
      </c>
      <c r="AC76" s="663">
        <f t="shared" si="85"/>
        <v>1050.7426078124972</v>
      </c>
      <c r="AD76" s="664">
        <f t="shared" si="66"/>
        <v>0.10202870396781058</v>
      </c>
      <c r="AE76" s="247">
        <v>650000</v>
      </c>
      <c r="AF76" s="38"/>
      <c r="AG76" s="38"/>
      <c r="AH76" s="238">
        <v>650000</v>
      </c>
      <c r="AI76" s="658">
        <f t="shared" si="86"/>
        <v>283.73106519531211</v>
      </c>
      <c r="AJ76" s="659">
        <f t="shared" si="67"/>
        <v>2.4999999999999974E-2</v>
      </c>
      <c r="AK76" s="663">
        <f t="shared" si="68"/>
        <v>1334.4736730078093</v>
      </c>
      <c r="AL76" s="662">
        <f t="shared" si="69"/>
        <v>0.1295794215670058</v>
      </c>
      <c r="AM76" s="658" t="str">
        <f t="shared" si="87"/>
        <v/>
      </c>
      <c r="AN76" s="659" t="str">
        <f t="shared" si="70"/>
        <v/>
      </c>
      <c r="AO76" s="663" t="str">
        <f t="shared" si="71"/>
        <v/>
      </c>
      <c r="AP76" s="662" t="str">
        <f t="shared" si="72"/>
        <v/>
      </c>
      <c r="AQ76" s="661" t="str">
        <f t="shared" si="88"/>
        <v/>
      </c>
      <c r="AR76" s="660" t="str">
        <f t="shared" si="73"/>
        <v/>
      </c>
      <c r="AS76" s="661" t="str">
        <f t="shared" si="74"/>
        <v/>
      </c>
      <c r="AT76" s="664" t="str">
        <f t="shared" si="75"/>
        <v/>
      </c>
      <c r="AU76" s="304"/>
    </row>
    <row r="77" spans="1:47" ht="13.2" x14ac:dyDescent="0.25">
      <c r="A77" s="26"/>
      <c r="B77" s="38"/>
      <c r="C77" s="570" t="s">
        <v>286</v>
      </c>
      <c r="D77" s="174">
        <v>10</v>
      </c>
      <c r="E77" s="594">
        <v>750000</v>
      </c>
      <c r="F77" s="23">
        <f t="shared" si="76"/>
        <v>11823.5</v>
      </c>
      <c r="G77" s="23">
        <f t="shared" si="77"/>
        <v>12099.5</v>
      </c>
      <c r="H77" s="23">
        <f t="shared" si="78"/>
        <v>12401.987499999999</v>
      </c>
      <c r="I77" s="23">
        <f t="shared" si="78"/>
        <v>12712.037187499998</v>
      </c>
      <c r="J77" s="23">
        <f t="shared" si="78"/>
        <v>13029.838117187497</v>
      </c>
      <c r="K77" s="23">
        <f t="shared" si="78"/>
        <v>13355.584070117184</v>
      </c>
      <c r="L77" s="23"/>
      <c r="M77" s="571"/>
      <c r="N77" s="38"/>
      <c r="O77" s="38"/>
      <c r="P77" s="236">
        <v>750000</v>
      </c>
      <c r="Q77" s="658">
        <f t="shared" si="79"/>
        <v>276</v>
      </c>
      <c r="R77" s="659">
        <f t="shared" si="60"/>
        <v>2.3343341650103606E-2</v>
      </c>
      <c r="S77" s="658">
        <f t="shared" si="80"/>
        <v>302.48749999999927</v>
      </c>
      <c r="T77" s="659">
        <f t="shared" si="61"/>
        <v>2.4999999999999939E-2</v>
      </c>
      <c r="U77" s="663">
        <f t="shared" si="81"/>
        <v>578.48749999999927</v>
      </c>
      <c r="V77" s="662">
        <f t="shared" si="62"/>
        <v>4.8926925191356135E-2</v>
      </c>
      <c r="W77" s="661">
        <f t="shared" si="82"/>
        <v>310.04968749999898</v>
      </c>
      <c r="X77" s="659">
        <f t="shared" si="63"/>
        <v>2.4999999999999918E-2</v>
      </c>
      <c r="Y77" s="663">
        <f t="shared" si="83"/>
        <v>888.53718749999825</v>
      </c>
      <c r="Z77" s="659">
        <f t="shared" si="64"/>
        <v>7.515009832113996E-2</v>
      </c>
      <c r="AA77" s="658">
        <f t="shared" si="84"/>
        <v>317.80092968749886</v>
      </c>
      <c r="AB77" s="659">
        <f t="shared" si="65"/>
        <v>2.4999999999999915E-2</v>
      </c>
      <c r="AC77" s="663">
        <f t="shared" si="85"/>
        <v>1206.3381171874971</v>
      </c>
      <c r="AD77" s="664">
        <f t="shared" si="66"/>
        <v>0.10202885077916836</v>
      </c>
      <c r="AE77" s="247">
        <v>750000</v>
      </c>
      <c r="AF77" s="38"/>
      <c r="AG77" s="38"/>
      <c r="AH77" s="238">
        <v>750000</v>
      </c>
      <c r="AI77" s="658">
        <f t="shared" si="86"/>
        <v>325.74595292968661</v>
      </c>
      <c r="AJ77" s="659">
        <f t="shared" si="67"/>
        <v>2.4999999999999935E-2</v>
      </c>
      <c r="AK77" s="663">
        <f t="shared" si="68"/>
        <v>1532.0840701171837</v>
      </c>
      <c r="AL77" s="662">
        <f t="shared" si="69"/>
        <v>0.12957957204864751</v>
      </c>
      <c r="AM77" s="658" t="str">
        <f t="shared" si="87"/>
        <v/>
      </c>
      <c r="AN77" s="659" t="str">
        <f t="shared" si="70"/>
        <v/>
      </c>
      <c r="AO77" s="663" t="str">
        <f t="shared" si="71"/>
        <v/>
      </c>
      <c r="AP77" s="662" t="str">
        <f t="shared" si="72"/>
        <v/>
      </c>
      <c r="AQ77" s="661" t="str">
        <f t="shared" si="88"/>
        <v/>
      </c>
      <c r="AR77" s="660" t="str">
        <f t="shared" si="73"/>
        <v/>
      </c>
      <c r="AS77" s="661" t="str">
        <f t="shared" si="74"/>
        <v/>
      </c>
      <c r="AT77" s="664" t="str">
        <f t="shared" si="75"/>
        <v/>
      </c>
      <c r="AU77" s="304"/>
    </row>
    <row r="78" spans="1:47" ht="13.2" x14ac:dyDescent="0.25">
      <c r="A78" s="26"/>
      <c r="B78" s="38"/>
      <c r="C78" s="570" t="s">
        <v>287</v>
      </c>
      <c r="D78" s="174">
        <v>8</v>
      </c>
      <c r="E78" s="594">
        <v>850000</v>
      </c>
      <c r="F78" s="23">
        <f t="shared" si="76"/>
        <v>13348.5</v>
      </c>
      <c r="G78" s="23">
        <f t="shared" si="77"/>
        <v>13660.1</v>
      </c>
      <c r="H78" s="23">
        <f t="shared" si="78"/>
        <v>14001.602499999999</v>
      </c>
      <c r="I78" s="23">
        <f t="shared" si="78"/>
        <v>14351.642562499997</v>
      </c>
      <c r="J78" s="23">
        <f t="shared" si="78"/>
        <v>14710.433626562495</v>
      </c>
      <c r="K78" s="23">
        <f t="shared" si="78"/>
        <v>15078.194467226556</v>
      </c>
      <c r="L78" s="23"/>
      <c r="M78" s="571"/>
      <c r="N78" s="38"/>
      <c r="O78" s="38"/>
      <c r="P78" s="236">
        <v>850000</v>
      </c>
      <c r="Q78" s="658">
        <f t="shared" si="79"/>
        <v>311.60000000000036</v>
      </c>
      <c r="R78" s="659">
        <f t="shared" si="60"/>
        <v>2.3343446829231777E-2</v>
      </c>
      <c r="S78" s="658">
        <f t="shared" si="80"/>
        <v>341.50249999999869</v>
      </c>
      <c r="T78" s="659">
        <f t="shared" si="61"/>
        <v>2.4999999999999904E-2</v>
      </c>
      <c r="U78" s="663">
        <f t="shared" si="81"/>
        <v>653.10249999999905</v>
      </c>
      <c r="V78" s="662">
        <f t="shared" si="62"/>
        <v>4.8927032999962469E-2</v>
      </c>
      <c r="W78" s="661">
        <f t="shared" si="82"/>
        <v>350.04006249999838</v>
      </c>
      <c r="X78" s="659">
        <f t="shared" si="63"/>
        <v>2.4999999999999887E-2</v>
      </c>
      <c r="Y78" s="663">
        <f t="shared" si="83"/>
        <v>1003.1425624999974</v>
      </c>
      <c r="Z78" s="659">
        <f t="shared" si="64"/>
        <v>7.5150208824961415E-2</v>
      </c>
      <c r="AA78" s="658">
        <f t="shared" si="84"/>
        <v>358.79106406249775</v>
      </c>
      <c r="AB78" s="659">
        <f t="shared" si="65"/>
        <v>2.4999999999999849E-2</v>
      </c>
      <c r="AC78" s="663">
        <f t="shared" si="85"/>
        <v>1361.9336265624952</v>
      </c>
      <c r="AD78" s="664">
        <f t="shared" si="66"/>
        <v>0.10202896404558529</v>
      </c>
      <c r="AE78" s="247">
        <v>850000</v>
      </c>
      <c r="AF78" s="38"/>
      <c r="AG78" s="38"/>
      <c r="AH78" s="238">
        <v>850000</v>
      </c>
      <c r="AI78" s="658">
        <f t="shared" si="86"/>
        <v>367.76084066406111</v>
      </c>
      <c r="AJ78" s="659">
        <f t="shared" si="67"/>
        <v>2.4999999999999915E-2</v>
      </c>
      <c r="AK78" s="663">
        <f t="shared" si="68"/>
        <v>1729.6944672265563</v>
      </c>
      <c r="AL78" s="662">
        <f t="shared" si="69"/>
        <v>0.12957968814672483</v>
      </c>
      <c r="AM78" s="658" t="str">
        <f t="shared" si="87"/>
        <v/>
      </c>
      <c r="AN78" s="659" t="str">
        <f t="shared" si="70"/>
        <v/>
      </c>
      <c r="AO78" s="663" t="str">
        <f t="shared" si="71"/>
        <v/>
      </c>
      <c r="AP78" s="662" t="str">
        <f t="shared" si="72"/>
        <v/>
      </c>
      <c r="AQ78" s="661" t="str">
        <f t="shared" si="88"/>
        <v/>
      </c>
      <c r="AR78" s="660" t="str">
        <f t="shared" si="73"/>
        <v/>
      </c>
      <c r="AS78" s="661" t="str">
        <f t="shared" si="74"/>
        <v/>
      </c>
      <c r="AT78" s="664" t="str">
        <f t="shared" si="75"/>
        <v/>
      </c>
      <c r="AU78" s="304"/>
    </row>
    <row r="79" spans="1:47" ht="13.2" x14ac:dyDescent="0.25">
      <c r="A79" s="26"/>
      <c r="B79" s="38"/>
      <c r="C79" s="570" t="s">
        <v>288</v>
      </c>
      <c r="D79" s="174">
        <v>3</v>
      </c>
      <c r="E79" s="594">
        <v>950000</v>
      </c>
      <c r="F79" s="23">
        <f t="shared" si="76"/>
        <v>14873.5</v>
      </c>
      <c r="G79" s="23">
        <f t="shared" si="77"/>
        <v>15220.7</v>
      </c>
      <c r="H79" s="23">
        <f t="shared" si="78"/>
        <v>15601.217499999999</v>
      </c>
      <c r="I79" s="23">
        <f t="shared" si="78"/>
        <v>15991.247937499997</v>
      </c>
      <c r="J79" s="23">
        <f t="shared" si="78"/>
        <v>16391.029135937497</v>
      </c>
      <c r="K79" s="23">
        <f t="shared" si="78"/>
        <v>16800.804864335933</v>
      </c>
      <c r="L79" s="23"/>
      <c r="M79" s="571"/>
      <c r="N79" s="38"/>
      <c r="O79" s="38"/>
      <c r="P79" s="236">
        <v>950000</v>
      </c>
      <c r="Q79" s="658">
        <f t="shared" si="79"/>
        <v>347.20000000000073</v>
      </c>
      <c r="R79" s="659">
        <f t="shared" si="60"/>
        <v>2.3343530440044422E-2</v>
      </c>
      <c r="S79" s="658">
        <f t="shared" si="80"/>
        <v>380.51749999999811</v>
      </c>
      <c r="T79" s="659">
        <f t="shared" si="61"/>
        <v>2.4999999999999873E-2</v>
      </c>
      <c r="U79" s="663">
        <f t="shared" si="81"/>
        <v>727.71749999999884</v>
      </c>
      <c r="V79" s="662">
        <f t="shared" si="62"/>
        <v>4.8927118701045408E-2</v>
      </c>
      <c r="W79" s="661">
        <f t="shared" si="82"/>
        <v>390.03043749999779</v>
      </c>
      <c r="X79" s="659">
        <f t="shared" si="63"/>
        <v>2.4999999999999859E-2</v>
      </c>
      <c r="Y79" s="663">
        <f t="shared" si="83"/>
        <v>1117.7479374999966</v>
      </c>
      <c r="Z79" s="659">
        <f t="shared" si="64"/>
        <v>7.5150296668571398E-2</v>
      </c>
      <c r="AA79" s="658">
        <f t="shared" si="84"/>
        <v>399.78119843750028</v>
      </c>
      <c r="AB79" s="659">
        <f t="shared" si="65"/>
        <v>2.5000000000000022E-2</v>
      </c>
      <c r="AC79" s="663">
        <f t="shared" si="85"/>
        <v>1517.5291359374969</v>
      </c>
      <c r="AD79" s="664">
        <f t="shared" si="66"/>
        <v>0.1020290540852857</v>
      </c>
      <c r="AE79" s="247">
        <v>950000</v>
      </c>
      <c r="AF79" s="38"/>
      <c r="AG79" s="38"/>
      <c r="AH79" s="238">
        <v>950000</v>
      </c>
      <c r="AI79" s="658">
        <f t="shared" si="86"/>
        <v>409.7757283984356</v>
      </c>
      <c r="AJ79" s="659">
        <f t="shared" si="67"/>
        <v>2.499999999999989E-2</v>
      </c>
      <c r="AK79" s="663">
        <f t="shared" si="68"/>
        <v>1927.3048643359325</v>
      </c>
      <c r="AL79" s="662">
        <f t="shared" si="69"/>
        <v>0.12957978043741772</v>
      </c>
      <c r="AM79" s="658" t="str">
        <f t="shared" si="87"/>
        <v/>
      </c>
      <c r="AN79" s="659" t="str">
        <f t="shared" si="70"/>
        <v/>
      </c>
      <c r="AO79" s="663" t="str">
        <f t="shared" si="71"/>
        <v/>
      </c>
      <c r="AP79" s="662" t="str">
        <f t="shared" si="72"/>
        <v/>
      </c>
      <c r="AQ79" s="661" t="str">
        <f t="shared" si="88"/>
        <v/>
      </c>
      <c r="AR79" s="660" t="str">
        <f t="shared" si="73"/>
        <v/>
      </c>
      <c r="AS79" s="661" t="str">
        <f t="shared" si="74"/>
        <v/>
      </c>
      <c r="AT79" s="664" t="str">
        <f t="shared" si="75"/>
        <v/>
      </c>
      <c r="AU79" s="304"/>
    </row>
    <row r="80" spans="1:47" ht="13.2" x14ac:dyDescent="0.25">
      <c r="A80" s="26"/>
      <c r="B80" s="38"/>
      <c r="C80" s="570" t="s">
        <v>290</v>
      </c>
      <c r="D80" s="174">
        <v>19</v>
      </c>
      <c r="E80" s="594">
        <v>1250000</v>
      </c>
      <c r="F80" s="23">
        <f t="shared" si="76"/>
        <v>19448.5</v>
      </c>
      <c r="G80" s="23">
        <f t="shared" si="77"/>
        <v>19902.5</v>
      </c>
      <c r="H80" s="23">
        <f t="shared" si="78"/>
        <v>20400.0625</v>
      </c>
      <c r="I80" s="23">
        <f t="shared" si="78"/>
        <v>20910.064062499998</v>
      </c>
      <c r="J80" s="23">
        <f t="shared" si="78"/>
        <v>21432.815664062495</v>
      </c>
      <c r="K80" s="23">
        <f t="shared" si="78"/>
        <v>21968.636055664054</v>
      </c>
      <c r="L80" s="23"/>
      <c r="M80" s="571"/>
      <c r="N80" s="38"/>
      <c r="O80" s="38"/>
      <c r="P80" s="236">
        <v>1250000</v>
      </c>
      <c r="Q80" s="658">
        <f t="shared" si="79"/>
        <v>454</v>
      </c>
      <c r="R80" s="659">
        <f t="shared" si="60"/>
        <v>2.3343702599172171E-2</v>
      </c>
      <c r="S80" s="658">
        <f t="shared" si="80"/>
        <v>497.5625</v>
      </c>
      <c r="T80" s="659">
        <f t="shared" si="61"/>
        <v>2.5000000000000001E-2</v>
      </c>
      <c r="U80" s="663">
        <f t="shared" si="81"/>
        <v>951.5625</v>
      </c>
      <c r="V80" s="662">
        <f t="shared" si="62"/>
        <v>4.892729516415148E-2</v>
      </c>
      <c r="W80" s="661">
        <f t="shared" si="82"/>
        <v>510.00156249999782</v>
      </c>
      <c r="X80" s="659">
        <f t="shared" si="63"/>
        <v>2.4999999999999894E-2</v>
      </c>
      <c r="Y80" s="663">
        <f t="shared" si="83"/>
        <v>1461.5640624999978</v>
      </c>
      <c r="Z80" s="659">
        <f t="shared" si="64"/>
        <v>7.5150477543255156E-2</v>
      </c>
      <c r="AA80" s="658">
        <f t="shared" si="84"/>
        <v>522.75160156249694</v>
      </c>
      <c r="AB80" s="659">
        <f t="shared" si="65"/>
        <v>2.4999999999999856E-2</v>
      </c>
      <c r="AC80" s="663">
        <f t="shared" si="85"/>
        <v>1984.3156640624948</v>
      </c>
      <c r="AD80" s="664">
        <f t="shared" si="66"/>
        <v>0.10202923948183637</v>
      </c>
      <c r="AE80" s="247">
        <v>1250000</v>
      </c>
      <c r="AF80" s="38"/>
      <c r="AG80" s="38"/>
      <c r="AH80" s="238">
        <v>1250000</v>
      </c>
      <c r="AI80" s="658">
        <f t="shared" si="86"/>
        <v>535.82039160155909</v>
      </c>
      <c r="AJ80" s="659">
        <f t="shared" si="67"/>
        <v>2.4999999999999849E-2</v>
      </c>
      <c r="AK80" s="663">
        <f t="shared" si="68"/>
        <v>2520.1360556640539</v>
      </c>
      <c r="AL80" s="662">
        <f t="shared" si="69"/>
        <v>0.12957997046888212</v>
      </c>
      <c r="AM80" s="658" t="str">
        <f t="shared" si="87"/>
        <v/>
      </c>
      <c r="AN80" s="659" t="str">
        <f t="shared" si="70"/>
        <v/>
      </c>
      <c r="AO80" s="663" t="str">
        <f t="shared" si="71"/>
        <v/>
      </c>
      <c r="AP80" s="662" t="str">
        <f t="shared" si="72"/>
        <v/>
      </c>
      <c r="AQ80" s="661" t="str">
        <f t="shared" si="88"/>
        <v/>
      </c>
      <c r="AR80" s="660" t="str">
        <f t="shared" si="73"/>
        <v/>
      </c>
      <c r="AS80" s="661" t="str">
        <f t="shared" si="74"/>
        <v/>
      </c>
      <c r="AT80" s="664" t="str">
        <f t="shared" si="75"/>
        <v/>
      </c>
      <c r="AU80" s="304"/>
    </row>
    <row r="81" spans="1:47" ht="13.2" x14ac:dyDescent="0.25">
      <c r="A81" s="26"/>
      <c r="B81" s="38"/>
      <c r="C81" s="570" t="s">
        <v>291</v>
      </c>
      <c r="D81" s="174">
        <v>5</v>
      </c>
      <c r="E81" s="594">
        <v>1750000</v>
      </c>
      <c r="F81" s="23">
        <f t="shared" si="76"/>
        <v>27073.5</v>
      </c>
      <c r="G81" s="23">
        <f t="shared" si="77"/>
        <v>27705.5</v>
      </c>
      <c r="H81" s="23">
        <f t="shared" si="78"/>
        <v>28398.137499999997</v>
      </c>
      <c r="I81" s="23">
        <f t="shared" si="78"/>
        <v>29108.090937499994</v>
      </c>
      <c r="J81" s="23">
        <f t="shared" si="78"/>
        <v>29835.793210937492</v>
      </c>
      <c r="K81" s="23">
        <f t="shared" si="78"/>
        <v>30581.688041210928</v>
      </c>
      <c r="L81" s="23"/>
      <c r="M81" s="571"/>
      <c r="N81" s="38"/>
      <c r="O81" s="38"/>
      <c r="P81" s="236">
        <v>1750000</v>
      </c>
      <c r="Q81" s="658">
        <f t="shared" si="79"/>
        <v>632</v>
      </c>
      <c r="R81" s="659">
        <f t="shared" si="60"/>
        <v>2.3343860232330507E-2</v>
      </c>
      <c r="S81" s="658">
        <f t="shared" si="80"/>
        <v>692.63749999999709</v>
      </c>
      <c r="T81" s="659">
        <f t="shared" si="61"/>
        <v>2.4999999999999894E-2</v>
      </c>
      <c r="U81" s="663">
        <f t="shared" si="81"/>
        <v>1324.6374999999971</v>
      </c>
      <c r="V81" s="662">
        <f t="shared" si="62"/>
        <v>4.8927456738138662E-2</v>
      </c>
      <c r="W81" s="661">
        <f t="shared" si="82"/>
        <v>709.95343749999665</v>
      </c>
      <c r="X81" s="659">
        <f t="shared" si="63"/>
        <v>2.4999999999999883E-2</v>
      </c>
      <c r="Y81" s="663">
        <f t="shared" si="83"/>
        <v>2034.5909374999937</v>
      </c>
      <c r="Z81" s="659">
        <f t="shared" si="64"/>
        <v>7.5150643156592006E-2</v>
      </c>
      <c r="AA81" s="658">
        <f t="shared" si="84"/>
        <v>727.70227343749866</v>
      </c>
      <c r="AB81" s="659">
        <f t="shared" si="65"/>
        <v>2.499999999999996E-2</v>
      </c>
      <c r="AC81" s="663">
        <f t="shared" si="85"/>
        <v>2762.2932109374924</v>
      </c>
      <c r="AD81" s="664">
        <f t="shared" si="66"/>
        <v>0.10202940923550677</v>
      </c>
      <c r="AE81" s="247">
        <v>1750000</v>
      </c>
      <c r="AF81" s="38"/>
      <c r="AG81" s="38"/>
      <c r="AH81" s="238">
        <v>1750000</v>
      </c>
      <c r="AI81" s="658">
        <f t="shared" si="86"/>
        <v>745.89483027343522</v>
      </c>
      <c r="AJ81" s="659">
        <f t="shared" si="67"/>
        <v>2.4999999999999929E-2</v>
      </c>
      <c r="AK81" s="663">
        <f t="shared" si="68"/>
        <v>3508.1880412109276</v>
      </c>
      <c r="AL81" s="662">
        <f t="shared" si="69"/>
        <v>0.12958014446639435</v>
      </c>
      <c r="AM81" s="658" t="str">
        <f t="shared" si="87"/>
        <v/>
      </c>
      <c r="AN81" s="659" t="str">
        <f t="shared" si="70"/>
        <v/>
      </c>
      <c r="AO81" s="663" t="str">
        <f t="shared" si="71"/>
        <v/>
      </c>
      <c r="AP81" s="662" t="str">
        <f t="shared" si="72"/>
        <v/>
      </c>
      <c r="AQ81" s="661" t="str">
        <f t="shared" si="88"/>
        <v/>
      </c>
      <c r="AR81" s="660" t="str">
        <f t="shared" si="73"/>
        <v/>
      </c>
      <c r="AS81" s="661" t="str">
        <f t="shared" si="74"/>
        <v/>
      </c>
      <c r="AT81" s="664" t="str">
        <f t="shared" si="75"/>
        <v/>
      </c>
      <c r="AU81" s="304"/>
    </row>
    <row r="82" spans="1:47" ht="13.2" x14ac:dyDescent="0.25">
      <c r="A82" s="26"/>
      <c r="B82" s="38"/>
      <c r="C82" s="570" t="s">
        <v>292</v>
      </c>
      <c r="D82" s="174">
        <v>1</v>
      </c>
      <c r="E82" s="594">
        <v>2500000</v>
      </c>
      <c r="F82" s="23">
        <f t="shared" si="76"/>
        <v>38511</v>
      </c>
      <c r="G82" s="23">
        <f t="shared" si="77"/>
        <v>39410</v>
      </c>
      <c r="H82" s="23">
        <f t="shared" si="78"/>
        <v>40395.25</v>
      </c>
      <c r="I82" s="23">
        <f t="shared" si="78"/>
        <v>41405.131249999999</v>
      </c>
      <c r="J82" s="23">
        <f t="shared" si="78"/>
        <v>42440.259531249998</v>
      </c>
      <c r="K82" s="23">
        <f t="shared" si="78"/>
        <v>43501.266019531242</v>
      </c>
      <c r="L82" s="23"/>
      <c r="M82" s="571"/>
      <c r="N82" s="38"/>
      <c r="O82" s="38"/>
      <c r="P82" s="236">
        <v>2500000</v>
      </c>
      <c r="Q82" s="658">
        <f t="shared" si="79"/>
        <v>899</v>
      </c>
      <c r="R82" s="659">
        <f t="shared" si="60"/>
        <v>2.3343979642180157E-2</v>
      </c>
      <c r="S82" s="658">
        <f t="shared" si="80"/>
        <v>985.25</v>
      </c>
      <c r="T82" s="659">
        <f t="shared" si="61"/>
        <v>2.5000000000000001E-2</v>
      </c>
      <c r="U82" s="663">
        <f t="shared" si="81"/>
        <v>1884.25</v>
      </c>
      <c r="V82" s="662">
        <f t="shared" si="62"/>
        <v>4.8927579133234658E-2</v>
      </c>
      <c r="W82" s="661">
        <f t="shared" si="82"/>
        <v>1009.8812499999985</v>
      </c>
      <c r="X82" s="659">
        <f t="shared" si="63"/>
        <v>2.4999999999999963E-2</v>
      </c>
      <c r="Y82" s="663">
        <f t="shared" si="83"/>
        <v>2894.1312499999985</v>
      </c>
      <c r="Z82" s="659">
        <f t="shared" si="64"/>
        <v>7.5150768611565485E-2</v>
      </c>
      <c r="AA82" s="658">
        <f t="shared" si="84"/>
        <v>1035.1282812499994</v>
      </c>
      <c r="AB82" s="659">
        <f t="shared" si="65"/>
        <v>2.4999999999999988E-2</v>
      </c>
      <c r="AC82" s="663">
        <f t="shared" si="85"/>
        <v>3929.259531249998</v>
      </c>
      <c r="AD82" s="664">
        <f t="shared" si="66"/>
        <v>0.10202953782685462</v>
      </c>
      <c r="AE82" s="247">
        <v>2500000</v>
      </c>
      <c r="AF82" s="38"/>
      <c r="AG82" s="38"/>
      <c r="AH82" s="238">
        <v>2500000</v>
      </c>
      <c r="AI82" s="658">
        <f t="shared" si="86"/>
        <v>1061.0064882812439</v>
      </c>
      <c r="AJ82" s="659">
        <f t="shared" si="67"/>
        <v>2.4999999999999859E-2</v>
      </c>
      <c r="AK82" s="663">
        <f t="shared" si="68"/>
        <v>4990.2660195312419</v>
      </c>
      <c r="AL82" s="662">
        <f t="shared" si="69"/>
        <v>0.12958027627252583</v>
      </c>
      <c r="AM82" s="658" t="str">
        <f t="shared" si="87"/>
        <v/>
      </c>
      <c r="AN82" s="659" t="str">
        <f t="shared" si="70"/>
        <v/>
      </c>
      <c r="AO82" s="663" t="str">
        <f t="shared" si="71"/>
        <v/>
      </c>
      <c r="AP82" s="662" t="str">
        <f t="shared" si="72"/>
        <v/>
      </c>
      <c r="AQ82" s="661" t="str">
        <f t="shared" si="88"/>
        <v/>
      </c>
      <c r="AR82" s="660" t="str">
        <f t="shared" si="73"/>
        <v/>
      </c>
      <c r="AS82" s="661" t="str">
        <f t="shared" si="74"/>
        <v/>
      </c>
      <c r="AT82" s="664" t="str">
        <f t="shared" si="75"/>
        <v/>
      </c>
      <c r="AU82" s="304"/>
    </row>
    <row r="83" spans="1:47" ht="13.8" thickBot="1" x14ac:dyDescent="0.3">
      <c r="A83" s="26"/>
      <c r="B83" s="38"/>
      <c r="C83" s="563" t="s">
        <v>15</v>
      </c>
      <c r="D83" s="576">
        <v>5</v>
      </c>
      <c r="E83" s="573">
        <v>3000000</v>
      </c>
      <c r="F83" s="23">
        <f t="shared" si="76"/>
        <v>46136</v>
      </c>
      <c r="G83" s="23">
        <f t="shared" si="77"/>
        <v>47213</v>
      </c>
      <c r="H83" s="23">
        <f t="shared" si="78"/>
        <v>48393.324999999997</v>
      </c>
      <c r="I83" s="23">
        <f t="shared" si="78"/>
        <v>49603.158124999994</v>
      </c>
      <c r="J83" s="23">
        <f t="shared" si="78"/>
        <v>50843.237078124992</v>
      </c>
      <c r="K83" s="23">
        <f t="shared" si="78"/>
        <v>52114.318005078116</v>
      </c>
      <c r="L83" s="574"/>
      <c r="M83" s="575"/>
      <c r="N83" s="38"/>
      <c r="O83" s="38"/>
      <c r="P83" s="239">
        <v>3000000</v>
      </c>
      <c r="Q83" s="678">
        <f t="shared" si="79"/>
        <v>1077</v>
      </c>
      <c r="R83" s="672">
        <f t="shared" si="60"/>
        <v>2.3344026356857984E-2</v>
      </c>
      <c r="S83" s="678">
        <f t="shared" si="80"/>
        <v>1180.3249999999971</v>
      </c>
      <c r="T83" s="672">
        <f t="shared" si="61"/>
        <v>2.4999999999999939E-2</v>
      </c>
      <c r="U83" s="673">
        <f t="shared" si="81"/>
        <v>2257.3249999999971</v>
      </c>
      <c r="V83" s="679">
        <f t="shared" si="62"/>
        <v>4.8927627015779372E-2</v>
      </c>
      <c r="W83" s="671">
        <f t="shared" si="82"/>
        <v>1209.8331249999974</v>
      </c>
      <c r="X83" s="672">
        <f t="shared" si="63"/>
        <v>2.4999999999999946E-2</v>
      </c>
      <c r="Y83" s="670">
        <f t="shared" si="83"/>
        <v>3467.1581249999945</v>
      </c>
      <c r="Z83" s="672">
        <f t="shared" si="64"/>
        <v>7.5150817691173807E-2</v>
      </c>
      <c r="AA83" s="665">
        <f t="shared" si="84"/>
        <v>1240.0789531249975</v>
      </c>
      <c r="AB83" s="666">
        <f t="shared" si="65"/>
        <v>2.4999999999999953E-2</v>
      </c>
      <c r="AC83" s="670">
        <f t="shared" si="85"/>
        <v>4707.237078124992</v>
      </c>
      <c r="AD83" s="675">
        <f t="shared" si="66"/>
        <v>0.1020295881334531</v>
      </c>
      <c r="AE83" s="248">
        <v>3000000</v>
      </c>
      <c r="AF83" s="38"/>
      <c r="AG83" s="38"/>
      <c r="AH83" s="241">
        <v>3000000</v>
      </c>
      <c r="AI83" s="665">
        <f t="shared" si="86"/>
        <v>1271.0809269531237</v>
      </c>
      <c r="AJ83" s="666">
        <f t="shared" si="67"/>
        <v>2.4999999999999977E-2</v>
      </c>
      <c r="AK83" s="670">
        <f t="shared" si="68"/>
        <v>5978.3180050781157</v>
      </c>
      <c r="AL83" s="669">
        <f t="shared" si="69"/>
        <v>0.12958032783678941</v>
      </c>
      <c r="AM83" s="665" t="str">
        <f t="shared" si="87"/>
        <v/>
      </c>
      <c r="AN83" s="666" t="str">
        <f t="shared" si="70"/>
        <v/>
      </c>
      <c r="AO83" s="670" t="str">
        <f t="shared" si="71"/>
        <v/>
      </c>
      <c r="AP83" s="669" t="str">
        <f t="shared" si="72"/>
        <v/>
      </c>
      <c r="AQ83" s="668" t="str">
        <f t="shared" si="88"/>
        <v/>
      </c>
      <c r="AR83" s="667" t="str">
        <f t="shared" si="73"/>
        <v/>
      </c>
      <c r="AS83" s="668" t="str">
        <f t="shared" si="74"/>
        <v/>
      </c>
      <c r="AT83" s="675" t="str">
        <f t="shared" si="75"/>
        <v/>
      </c>
      <c r="AU83" s="304"/>
    </row>
    <row r="84" spans="1:47" ht="13.8" thickTop="1" x14ac:dyDescent="0.25">
      <c r="A84" s="26"/>
      <c r="B84" s="38"/>
      <c r="C84" s="302"/>
      <c r="D84" s="310"/>
      <c r="E84" s="243"/>
      <c r="F84" s="302"/>
      <c r="G84" s="302"/>
      <c r="H84" s="302"/>
      <c r="I84" s="302"/>
      <c r="J84" s="302"/>
      <c r="K84" s="302"/>
      <c r="L84" s="302"/>
      <c r="M84" s="302"/>
      <c r="N84" s="38"/>
      <c r="O84" s="38"/>
      <c r="P84" s="243"/>
      <c r="Q84" s="305"/>
      <c r="R84" s="306"/>
      <c r="S84" s="305"/>
      <c r="T84" s="306"/>
      <c r="U84" s="305"/>
      <c r="V84" s="306"/>
      <c r="W84" s="305"/>
      <c r="X84" s="306"/>
      <c r="Y84" s="303"/>
      <c r="Z84" s="306"/>
      <c r="AA84" s="303"/>
      <c r="AB84" s="304"/>
      <c r="AC84" s="303"/>
      <c r="AD84" s="304"/>
      <c r="AE84" s="243"/>
      <c r="AF84" s="38"/>
      <c r="AG84" s="38"/>
      <c r="AH84" s="243"/>
      <c r="AI84" s="303"/>
      <c r="AJ84" s="304"/>
      <c r="AK84" s="303"/>
      <c r="AL84" s="304"/>
      <c r="AM84" s="303"/>
      <c r="AN84" s="304"/>
      <c r="AO84" s="303"/>
      <c r="AP84" s="304"/>
      <c r="AQ84" s="303"/>
      <c r="AR84" s="304"/>
      <c r="AS84" s="303"/>
      <c r="AT84" s="304"/>
      <c r="AU84" s="304"/>
    </row>
    <row r="85" spans="1:47" ht="15.6" x14ac:dyDescent="0.3">
      <c r="A85" s="26"/>
      <c r="B85" s="38"/>
      <c r="C85" s="83" t="s">
        <v>2</v>
      </c>
      <c r="D85" s="38"/>
      <c r="E85" s="213"/>
      <c r="F85" s="38"/>
      <c r="G85" s="38"/>
      <c r="H85" s="38"/>
      <c r="I85" s="38"/>
      <c r="J85" s="38"/>
      <c r="K85" s="38"/>
      <c r="L85" s="38"/>
      <c r="M85" s="38"/>
      <c r="N85" s="38"/>
      <c r="O85" s="38"/>
      <c r="P85" s="83" t="s">
        <v>2</v>
      </c>
      <c r="Q85" s="38"/>
      <c r="R85" s="38"/>
      <c r="S85" s="38"/>
      <c r="T85" s="38"/>
      <c r="U85" s="38"/>
      <c r="V85" s="38"/>
      <c r="W85" s="38"/>
      <c r="X85" s="38"/>
      <c r="Y85" s="38"/>
      <c r="Z85" s="38"/>
      <c r="AA85" s="38"/>
      <c r="AB85" s="38"/>
      <c r="AC85" s="38"/>
      <c r="AD85" s="38"/>
      <c r="AE85" s="38"/>
      <c r="AF85" s="38"/>
      <c r="AG85" s="38"/>
      <c r="AH85" s="83" t="s">
        <v>2</v>
      </c>
      <c r="AI85" s="38"/>
      <c r="AJ85" s="38"/>
      <c r="AK85" s="38"/>
      <c r="AL85" s="38"/>
      <c r="AM85" s="38"/>
      <c r="AN85" s="38"/>
      <c r="AO85" s="38"/>
      <c r="AP85" s="38"/>
      <c r="AQ85" s="38"/>
      <c r="AR85" s="38"/>
      <c r="AS85" s="38"/>
      <c r="AT85" s="38"/>
      <c r="AU85" s="38"/>
    </row>
    <row r="86" spans="1:47" ht="16.2" thickBot="1" x14ac:dyDescent="0.35">
      <c r="A86" s="26"/>
      <c r="B86" s="38"/>
      <c r="C86" s="83"/>
      <c r="D86" s="38"/>
      <c r="E86" s="213"/>
      <c r="F86" s="38"/>
      <c r="G86" s="38"/>
      <c r="H86" s="38"/>
      <c r="I86" s="38"/>
      <c r="J86" s="38"/>
      <c r="K86" s="38"/>
      <c r="L86" s="38"/>
      <c r="M86" s="38"/>
      <c r="N86" s="38"/>
      <c r="O86" s="38"/>
      <c r="P86" s="38"/>
      <c r="Q86" s="244"/>
      <c r="R86" s="244"/>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row>
    <row r="87" spans="1:47" ht="16.8" thickTop="1" thickBot="1" x14ac:dyDescent="0.35">
      <c r="A87" s="26"/>
      <c r="B87" s="38"/>
      <c r="C87" s="38"/>
      <c r="D87" s="38"/>
      <c r="E87" s="213"/>
      <c r="F87" s="217"/>
      <c r="G87" s="218"/>
      <c r="H87" s="829" t="s">
        <v>302</v>
      </c>
      <c r="I87" s="830"/>
      <c r="J87" s="830"/>
      <c r="K87" s="830"/>
      <c r="L87" s="830"/>
      <c r="M87" s="831"/>
      <c r="N87" s="38"/>
      <c r="O87" s="38"/>
      <c r="P87" s="38"/>
      <c r="Q87" s="820" t="s">
        <v>595</v>
      </c>
      <c r="R87" s="821"/>
      <c r="S87" s="821"/>
      <c r="T87" s="821"/>
      <c r="U87" s="821"/>
      <c r="V87" s="821"/>
      <c r="W87" s="821"/>
      <c r="X87" s="821"/>
      <c r="Y87" s="821"/>
      <c r="Z87" s="821"/>
      <c r="AA87" s="821"/>
      <c r="AB87" s="821"/>
      <c r="AC87" s="821"/>
      <c r="AD87" s="822"/>
      <c r="AE87" s="219"/>
      <c r="AF87" s="38"/>
      <c r="AG87" s="38"/>
      <c r="AH87" s="820" t="s">
        <v>595</v>
      </c>
      <c r="AI87" s="821"/>
      <c r="AJ87" s="821"/>
      <c r="AK87" s="821"/>
      <c r="AL87" s="821"/>
      <c r="AM87" s="821"/>
      <c r="AN87" s="821"/>
      <c r="AO87" s="821"/>
      <c r="AP87" s="821"/>
      <c r="AQ87" s="821"/>
      <c r="AR87" s="821"/>
      <c r="AS87" s="821"/>
      <c r="AT87" s="822"/>
      <c r="AU87" s="309"/>
    </row>
    <row r="88" spans="1:47" ht="56.25" customHeight="1" thickTop="1" x14ac:dyDescent="0.2">
      <c r="A88" s="26"/>
      <c r="B88" s="38"/>
      <c r="C88" s="577" t="s">
        <v>289</v>
      </c>
      <c r="D88" s="842" t="s">
        <v>581</v>
      </c>
      <c r="E88" s="567" t="s">
        <v>293</v>
      </c>
      <c r="F88" s="592" t="s">
        <v>310</v>
      </c>
      <c r="G88" s="592" t="s">
        <v>608</v>
      </c>
      <c r="H88" s="592" t="s">
        <v>609</v>
      </c>
      <c r="I88" s="592" t="s">
        <v>610</v>
      </c>
      <c r="J88" s="592" t="s">
        <v>611</v>
      </c>
      <c r="K88" s="592" t="s">
        <v>612</v>
      </c>
      <c r="L88" s="592" t="s">
        <v>613</v>
      </c>
      <c r="M88" s="568" t="s">
        <v>614</v>
      </c>
      <c r="N88" s="38"/>
      <c r="O88" s="38"/>
      <c r="P88" s="221" t="s">
        <v>293</v>
      </c>
      <c r="Q88" s="828" t="s">
        <v>294</v>
      </c>
      <c r="R88" s="826"/>
      <c r="S88" s="823" t="s">
        <v>295</v>
      </c>
      <c r="T88" s="824"/>
      <c r="U88" s="824"/>
      <c r="V88" s="825"/>
      <c r="W88" s="796" t="s">
        <v>296</v>
      </c>
      <c r="X88" s="826"/>
      <c r="Y88" s="826"/>
      <c r="Z88" s="826"/>
      <c r="AA88" s="823" t="s">
        <v>297</v>
      </c>
      <c r="AB88" s="824"/>
      <c r="AC88" s="824"/>
      <c r="AD88" s="827"/>
      <c r="AE88" s="245" t="s">
        <v>293</v>
      </c>
      <c r="AF88" s="38"/>
      <c r="AG88" s="38"/>
      <c r="AH88" s="224" t="s">
        <v>293</v>
      </c>
      <c r="AI88" s="823" t="s">
        <v>298</v>
      </c>
      <c r="AJ88" s="824"/>
      <c r="AK88" s="824"/>
      <c r="AL88" s="825"/>
      <c r="AM88" s="823" t="s">
        <v>299</v>
      </c>
      <c r="AN88" s="824"/>
      <c r="AO88" s="824"/>
      <c r="AP88" s="825"/>
      <c r="AQ88" s="796" t="s">
        <v>300</v>
      </c>
      <c r="AR88" s="826"/>
      <c r="AS88" s="826"/>
      <c r="AT88" s="836"/>
      <c r="AU88" s="222"/>
    </row>
    <row r="89" spans="1:47" ht="13.2" x14ac:dyDescent="0.25">
      <c r="A89" s="26"/>
      <c r="B89" s="38"/>
      <c r="C89" s="569"/>
      <c r="D89" s="843"/>
      <c r="E89" s="593"/>
      <c r="F89" s="629" t="str">
        <f>F69</f>
        <v>2017-18</v>
      </c>
      <c r="G89" s="629" t="str">
        <f t="shared" ref="G89:M89" si="89">G69</f>
        <v>2018-19</v>
      </c>
      <c r="H89" s="629" t="str">
        <f t="shared" si="89"/>
        <v>2019-20</v>
      </c>
      <c r="I89" s="629" t="str">
        <f t="shared" si="89"/>
        <v>2020-21</v>
      </c>
      <c r="J89" s="629" t="str">
        <f t="shared" si="89"/>
        <v>2021-22</v>
      </c>
      <c r="K89" s="629" t="str">
        <f t="shared" si="89"/>
        <v>2022-23</v>
      </c>
      <c r="L89" s="629" t="str">
        <f t="shared" si="89"/>
        <v>2023-24</v>
      </c>
      <c r="M89" s="652" t="str">
        <f t="shared" si="89"/>
        <v>2024-25</v>
      </c>
      <c r="N89" s="38"/>
      <c r="O89" s="38"/>
      <c r="P89" s="225" t="s">
        <v>71</v>
      </c>
      <c r="Q89" s="226" t="s">
        <v>44</v>
      </c>
      <c r="R89" s="227" t="s">
        <v>67</v>
      </c>
      <c r="S89" s="226" t="s">
        <v>44</v>
      </c>
      <c r="T89" s="231" t="s">
        <v>67</v>
      </c>
      <c r="U89" s="228" t="s">
        <v>45</v>
      </c>
      <c r="V89" s="230" t="s">
        <v>67</v>
      </c>
      <c r="W89" s="229" t="s">
        <v>44</v>
      </c>
      <c r="X89" s="231" t="s">
        <v>67</v>
      </c>
      <c r="Y89" s="228" t="s">
        <v>45</v>
      </c>
      <c r="Z89" s="227" t="s">
        <v>67</v>
      </c>
      <c r="AA89" s="226" t="s">
        <v>44</v>
      </c>
      <c r="AB89" s="231" t="s">
        <v>67</v>
      </c>
      <c r="AC89" s="228" t="s">
        <v>45</v>
      </c>
      <c r="AD89" s="232" t="s">
        <v>67</v>
      </c>
      <c r="AE89" s="246"/>
      <c r="AF89" s="38"/>
      <c r="AG89" s="38"/>
      <c r="AH89" s="234" t="s">
        <v>71</v>
      </c>
      <c r="AI89" s="226" t="s">
        <v>44</v>
      </c>
      <c r="AJ89" s="231" t="s">
        <v>67</v>
      </c>
      <c r="AK89" s="228" t="s">
        <v>45</v>
      </c>
      <c r="AL89" s="230" t="s">
        <v>67</v>
      </c>
      <c r="AM89" s="226" t="s">
        <v>44</v>
      </c>
      <c r="AN89" s="231" t="s">
        <v>67</v>
      </c>
      <c r="AO89" s="228" t="s">
        <v>45</v>
      </c>
      <c r="AP89" s="230" t="s">
        <v>67</v>
      </c>
      <c r="AQ89" s="229" t="s">
        <v>44</v>
      </c>
      <c r="AR89" s="231" t="s">
        <v>67</v>
      </c>
      <c r="AS89" s="228" t="s">
        <v>45</v>
      </c>
      <c r="AT89" s="232" t="s">
        <v>67</v>
      </c>
      <c r="AU89" s="308"/>
    </row>
    <row r="90" spans="1:47" ht="13.2" x14ac:dyDescent="0.25">
      <c r="A90" s="26"/>
      <c r="B90" s="38"/>
      <c r="C90" s="570" t="s">
        <v>14</v>
      </c>
      <c r="D90" s="680">
        <f>IF(D70="","",D70)</f>
        <v>212</v>
      </c>
      <c r="E90" s="594">
        <v>50000</v>
      </c>
      <c r="F90" s="23">
        <f>E90*1.525/100+386</f>
        <v>1148.5</v>
      </c>
      <c r="G90" s="23">
        <f>E90*1.5257/100+395</f>
        <v>1157.8499999999999</v>
      </c>
      <c r="H90" s="23">
        <f>G90*1.025</f>
        <v>1186.7962499999999</v>
      </c>
      <c r="I90" s="23">
        <f>H90*1.025</f>
        <v>1216.4661562499998</v>
      </c>
      <c r="J90" s="23">
        <f>I90*1.025</f>
        <v>1246.8778101562498</v>
      </c>
      <c r="K90" s="23">
        <f>J90*1.025</f>
        <v>1278.049755410156</v>
      </c>
      <c r="L90" s="23"/>
      <c r="M90" s="23"/>
      <c r="N90" s="38"/>
      <c r="O90" s="38"/>
      <c r="P90" s="236">
        <v>50000</v>
      </c>
      <c r="Q90" s="658">
        <f>IF(G90="","",IF(F90=0,"",G90-F90))</f>
        <v>9.3499999999999091</v>
      </c>
      <c r="R90" s="659">
        <f t="shared" ref="R90:R103" si="90">IF(Q90="","",Q90/F90)</f>
        <v>8.1410535481061461E-3</v>
      </c>
      <c r="S90" s="658">
        <f>IF(H90="","",IF(G90=0,"",H90-G90))</f>
        <v>28.946249999999964</v>
      </c>
      <c r="T90" s="659">
        <f t="shared" ref="T90:T103" si="91">IF(S90="","",S90/G90)</f>
        <v>2.499999999999997E-2</v>
      </c>
      <c r="U90" s="663">
        <f>IF(S90="","",S90+Q90)</f>
        <v>38.296249999999873</v>
      </c>
      <c r="V90" s="662">
        <f t="shared" ref="V90:V103" si="92">IF(T90="","",U90/F90)</f>
        <v>3.3344579886808771E-2</v>
      </c>
      <c r="W90" s="661">
        <f>IF(I90="","",IF(H90=0,"",I90-H90))</f>
        <v>29.66990624999994</v>
      </c>
      <c r="X90" s="659">
        <f t="shared" ref="X90:X103" si="93">IF(W90="","",W90/H90)</f>
        <v>2.4999999999999953E-2</v>
      </c>
      <c r="Y90" s="663">
        <f>IF(W90="","",W90+U90)</f>
        <v>67.966156249999813</v>
      </c>
      <c r="Z90" s="659">
        <f t="shared" ref="Z90:Z103" si="94">IF(X90="","",Y90/F90)</f>
        <v>5.9178194383978942E-2</v>
      </c>
      <c r="AA90" s="658">
        <f>IF(J90="","",IF(I90=0,"",J90-I90))</f>
        <v>30.411653906249967</v>
      </c>
      <c r="AB90" s="659">
        <f t="shared" ref="AB90:AB103" si="95">IF(AA90="","",AA90/I90)</f>
        <v>2.4999999999999977E-2</v>
      </c>
      <c r="AC90" s="663">
        <f>IF(AA90="","",AA90+Y90)</f>
        <v>98.37781015624978</v>
      </c>
      <c r="AD90" s="664">
        <f t="shared" ref="AD90:AD103" si="96">IF(AB90="","",AC90/F90)</f>
        <v>8.5657649243578382E-2</v>
      </c>
      <c r="AE90" s="247">
        <v>50000</v>
      </c>
      <c r="AF90" s="38"/>
      <c r="AG90" s="38"/>
      <c r="AH90" s="238">
        <v>50000</v>
      </c>
      <c r="AI90" s="658">
        <f>IF(K90="","",IF(J90=0,"",K90-J90))</f>
        <v>31.171945253906188</v>
      </c>
      <c r="AJ90" s="659">
        <f t="shared" ref="AJ90:AJ103" si="97">IF(AI90="","",AI90/J90)</f>
        <v>2.4999999999999953E-2</v>
      </c>
      <c r="AK90" s="663">
        <f t="shared" ref="AK90:AK103" si="98">IF(AI90="","",AI90+AC90)</f>
        <v>129.54975541015597</v>
      </c>
      <c r="AL90" s="662">
        <f t="shared" ref="AL90:AL103" si="99">IF(AK90="","",AK90/F90)</f>
        <v>0.1127990904746678</v>
      </c>
      <c r="AM90" s="658" t="str">
        <f>IF(L90="","",IF(K90=0,"",L90-K90))</f>
        <v/>
      </c>
      <c r="AN90" s="659" t="str">
        <f t="shared" ref="AN90:AN103" si="100">IF(AM90="","",AM90/K90)</f>
        <v/>
      </c>
      <c r="AO90" s="663" t="str">
        <f t="shared" ref="AO90:AO103" si="101">IF(AM90="","",AM90+AK90)</f>
        <v/>
      </c>
      <c r="AP90" s="662" t="str">
        <f t="shared" ref="AP90:AP103" si="102">IF(AO90="","",AO90/F90)</f>
        <v/>
      </c>
      <c r="AQ90" s="661" t="str">
        <f>IF(M90="","",IF(L90=0,"",M90-L90))</f>
        <v/>
      </c>
      <c r="AR90" s="660" t="str">
        <f t="shared" ref="AR90:AR103" si="103">IF(AQ90="","",AQ90/L90)</f>
        <v/>
      </c>
      <c r="AS90" s="661" t="str">
        <f t="shared" ref="AS90:AS103" si="104">IF(AQ90="","",AQ90+AO90)</f>
        <v/>
      </c>
      <c r="AT90" s="664" t="str">
        <f t="shared" ref="AT90:AT103" si="105">IF(AS90="","",AS90/F90)</f>
        <v/>
      </c>
      <c r="AU90" s="304"/>
    </row>
    <row r="91" spans="1:47" ht="13.2" x14ac:dyDescent="0.25">
      <c r="A91" s="26"/>
      <c r="B91" s="38"/>
      <c r="C91" s="570" t="s">
        <v>280</v>
      </c>
      <c r="D91" s="680">
        <f t="shared" ref="D91:D103" si="106">IF(D71="","",D71)</f>
        <v>328</v>
      </c>
      <c r="E91" s="594">
        <v>150000</v>
      </c>
      <c r="F91" s="23">
        <f t="shared" ref="F91:F103" si="107">E91*1.525/100+386</f>
        <v>2673.5</v>
      </c>
      <c r="G91" s="23">
        <f t="shared" ref="G91:G103" si="108">E91*1.5257/100+395</f>
        <v>2683.55</v>
      </c>
      <c r="H91" s="23">
        <f t="shared" ref="H91:K103" si="109">G91*1.025</f>
        <v>2750.6387500000001</v>
      </c>
      <c r="I91" s="23">
        <f t="shared" si="109"/>
        <v>2819.40471875</v>
      </c>
      <c r="J91" s="23">
        <f t="shared" si="109"/>
        <v>2889.8898367187498</v>
      </c>
      <c r="K91" s="23">
        <f t="shared" si="109"/>
        <v>2962.1370826367183</v>
      </c>
      <c r="L91" s="23"/>
      <c r="M91" s="23"/>
      <c r="N91" s="38"/>
      <c r="O91" s="38"/>
      <c r="P91" s="236">
        <v>150000</v>
      </c>
      <c r="Q91" s="658">
        <f t="shared" ref="Q91:Q103" si="110">IF(G91="","",IF(F91=0,"",G91-F91))</f>
        <v>10.050000000000182</v>
      </c>
      <c r="R91" s="659">
        <f t="shared" si="90"/>
        <v>3.759117262016152E-3</v>
      </c>
      <c r="S91" s="658">
        <f t="shared" ref="S91:S103" si="111">IF(H91="","",IF(G91=0,"",H91-G91))</f>
        <v>67.088749999999891</v>
      </c>
      <c r="T91" s="659">
        <f t="shared" si="91"/>
        <v>2.4999999999999956E-2</v>
      </c>
      <c r="U91" s="663">
        <f t="shared" ref="U91:U103" si="112">IF(S91="","",S91+Q91)</f>
        <v>77.138750000000073</v>
      </c>
      <c r="V91" s="662">
        <f t="shared" si="92"/>
        <v>2.8853095193566512E-2</v>
      </c>
      <c r="W91" s="661">
        <f t="shared" ref="W91:W103" si="113">IF(I91="","",IF(H91=0,"",I91-H91))</f>
        <v>68.765968749999956</v>
      </c>
      <c r="X91" s="659">
        <f t="shared" si="93"/>
        <v>2.4999999999999984E-2</v>
      </c>
      <c r="Y91" s="663">
        <f t="shared" ref="Y91:Y103" si="114">IF(W91="","",W91+U91)</f>
        <v>145.90471875000003</v>
      </c>
      <c r="Z91" s="659">
        <f t="shared" si="94"/>
        <v>5.4574422573405661E-2</v>
      </c>
      <c r="AA91" s="658">
        <f t="shared" ref="AA91:AA103" si="115">IF(J91="","",IF(I91=0,"",J91-I91))</f>
        <v>70.485117968749819</v>
      </c>
      <c r="AB91" s="659">
        <f t="shared" si="95"/>
        <v>2.4999999999999935E-2</v>
      </c>
      <c r="AC91" s="663">
        <f t="shared" ref="AC91:AC103" si="116">IF(AA91="","",AA91+Y91)</f>
        <v>216.38983671874985</v>
      </c>
      <c r="AD91" s="664">
        <f t="shared" si="96"/>
        <v>8.0938783137740736E-2</v>
      </c>
      <c r="AE91" s="247">
        <v>150000</v>
      </c>
      <c r="AF91" s="38"/>
      <c r="AG91" s="38"/>
      <c r="AH91" s="238">
        <v>150000</v>
      </c>
      <c r="AI91" s="658">
        <f t="shared" ref="AI91:AI103" si="117">IF(K91="","",IF(J91=0,"",K91-J91))</f>
        <v>72.247245917968485</v>
      </c>
      <c r="AJ91" s="659">
        <f t="shared" si="97"/>
        <v>2.4999999999999911E-2</v>
      </c>
      <c r="AK91" s="663">
        <f t="shared" si="98"/>
        <v>288.63708263671833</v>
      </c>
      <c r="AL91" s="662">
        <f t="shared" si="99"/>
        <v>0.10796225271618415</v>
      </c>
      <c r="AM91" s="658" t="str">
        <f t="shared" ref="AM91:AM103" si="118">IF(L91="","",IF(K91=0,"",L91-K91))</f>
        <v/>
      </c>
      <c r="AN91" s="659" t="str">
        <f t="shared" si="100"/>
        <v/>
      </c>
      <c r="AO91" s="663" t="str">
        <f t="shared" si="101"/>
        <v/>
      </c>
      <c r="AP91" s="662" t="str">
        <f t="shared" si="102"/>
        <v/>
      </c>
      <c r="AQ91" s="661" t="str">
        <f t="shared" ref="AQ91:AQ103" si="119">IF(M91="","",IF(L91=0,"",M91-L91))</f>
        <v/>
      </c>
      <c r="AR91" s="660" t="str">
        <f t="shared" si="103"/>
        <v/>
      </c>
      <c r="AS91" s="661" t="str">
        <f t="shared" si="104"/>
        <v/>
      </c>
      <c r="AT91" s="664" t="str">
        <f t="shared" si="105"/>
        <v/>
      </c>
      <c r="AU91" s="304"/>
    </row>
    <row r="92" spans="1:47" ht="13.2" x14ac:dyDescent="0.25">
      <c r="A92" s="26"/>
      <c r="B92" s="38"/>
      <c r="C92" s="570" t="s">
        <v>281</v>
      </c>
      <c r="D92" s="680">
        <f t="shared" si="106"/>
        <v>137</v>
      </c>
      <c r="E92" s="594">
        <v>250000</v>
      </c>
      <c r="F92" s="23">
        <f t="shared" si="107"/>
        <v>4198.5</v>
      </c>
      <c r="G92" s="23">
        <f t="shared" si="108"/>
        <v>4209.25</v>
      </c>
      <c r="H92" s="23">
        <f t="shared" si="109"/>
        <v>4314.4812499999998</v>
      </c>
      <c r="I92" s="23">
        <f t="shared" si="109"/>
        <v>4422.3432812499996</v>
      </c>
      <c r="J92" s="23">
        <f t="shared" si="109"/>
        <v>4532.9018632812495</v>
      </c>
      <c r="K92" s="23">
        <f t="shared" si="109"/>
        <v>4646.22440986328</v>
      </c>
      <c r="L92" s="23"/>
      <c r="M92" s="23"/>
      <c r="N92" s="38"/>
      <c r="O92" s="38"/>
      <c r="P92" s="236">
        <v>250000</v>
      </c>
      <c r="Q92" s="658">
        <f t="shared" si="110"/>
        <v>10.75</v>
      </c>
      <c r="R92" s="659">
        <f t="shared" si="90"/>
        <v>2.5604382517565799E-3</v>
      </c>
      <c r="S92" s="658">
        <f t="shared" si="111"/>
        <v>105.23124999999982</v>
      </c>
      <c r="T92" s="659">
        <f t="shared" si="91"/>
        <v>2.4999999999999956E-2</v>
      </c>
      <c r="U92" s="663">
        <f t="shared" si="112"/>
        <v>115.98124999999982</v>
      </c>
      <c r="V92" s="662">
        <f t="shared" si="92"/>
        <v>2.7624449208050451E-2</v>
      </c>
      <c r="W92" s="661">
        <f t="shared" si="113"/>
        <v>107.86203124999975</v>
      </c>
      <c r="X92" s="659">
        <f t="shared" si="93"/>
        <v>2.4999999999999942E-2</v>
      </c>
      <c r="Y92" s="663">
        <f t="shared" si="114"/>
        <v>223.84328124999956</v>
      </c>
      <c r="Z92" s="659">
        <f t="shared" si="94"/>
        <v>5.3315060438251655E-2</v>
      </c>
      <c r="AA92" s="658">
        <f t="shared" si="115"/>
        <v>110.5585820312499</v>
      </c>
      <c r="AB92" s="659">
        <f t="shared" si="95"/>
        <v>2.4999999999999981E-2</v>
      </c>
      <c r="AC92" s="663">
        <f t="shared" si="116"/>
        <v>334.40186328124946</v>
      </c>
      <c r="AD92" s="664">
        <f t="shared" si="96"/>
        <v>7.9647936949207923E-2</v>
      </c>
      <c r="AE92" s="247">
        <v>250000</v>
      </c>
      <c r="AF92" s="38"/>
      <c r="AG92" s="38"/>
      <c r="AH92" s="238">
        <v>250000</v>
      </c>
      <c r="AI92" s="658">
        <f t="shared" si="117"/>
        <v>113.32254658203055</v>
      </c>
      <c r="AJ92" s="659">
        <f t="shared" si="97"/>
        <v>2.4999999999999849E-2</v>
      </c>
      <c r="AK92" s="663">
        <f t="shared" si="98"/>
        <v>447.72440986328002</v>
      </c>
      <c r="AL92" s="662">
        <f t="shared" si="99"/>
        <v>0.10663913537293795</v>
      </c>
      <c r="AM92" s="658" t="str">
        <f t="shared" si="118"/>
        <v/>
      </c>
      <c r="AN92" s="659" t="str">
        <f t="shared" si="100"/>
        <v/>
      </c>
      <c r="AO92" s="663" t="str">
        <f t="shared" si="101"/>
        <v/>
      </c>
      <c r="AP92" s="662" t="str">
        <f t="shared" si="102"/>
        <v/>
      </c>
      <c r="AQ92" s="661" t="str">
        <f t="shared" si="119"/>
        <v/>
      </c>
      <c r="AR92" s="660" t="str">
        <f t="shared" si="103"/>
        <v/>
      </c>
      <c r="AS92" s="661" t="str">
        <f t="shared" si="104"/>
        <v/>
      </c>
      <c r="AT92" s="664" t="str">
        <f t="shared" si="105"/>
        <v/>
      </c>
      <c r="AU92" s="304"/>
    </row>
    <row r="93" spans="1:47" ht="13.2" x14ac:dyDescent="0.25">
      <c r="A93" s="26"/>
      <c r="B93" s="38"/>
      <c r="C93" s="570" t="s">
        <v>282</v>
      </c>
      <c r="D93" s="680">
        <f t="shared" si="106"/>
        <v>69</v>
      </c>
      <c r="E93" s="594">
        <v>350000</v>
      </c>
      <c r="F93" s="23">
        <f t="shared" si="107"/>
        <v>5723.5</v>
      </c>
      <c r="G93" s="23">
        <f t="shared" si="108"/>
        <v>5734.95</v>
      </c>
      <c r="H93" s="23">
        <f t="shared" si="109"/>
        <v>5878.3237499999996</v>
      </c>
      <c r="I93" s="23">
        <f t="shared" si="109"/>
        <v>6025.2818437499991</v>
      </c>
      <c r="J93" s="23">
        <f t="shared" si="109"/>
        <v>6175.9138898437486</v>
      </c>
      <c r="K93" s="23">
        <f t="shared" si="109"/>
        <v>6330.3117370898417</v>
      </c>
      <c r="L93" s="23"/>
      <c r="M93" s="571"/>
      <c r="N93" s="38"/>
      <c r="O93" s="38"/>
      <c r="P93" s="236">
        <v>350000</v>
      </c>
      <c r="Q93" s="658">
        <f t="shared" si="110"/>
        <v>11.449999999999818</v>
      </c>
      <c r="R93" s="659">
        <f t="shared" si="90"/>
        <v>2.0005241548003527E-3</v>
      </c>
      <c r="S93" s="658">
        <f t="shared" si="111"/>
        <v>143.37374999999975</v>
      </c>
      <c r="T93" s="659">
        <f t="shared" si="91"/>
        <v>2.4999999999999956E-2</v>
      </c>
      <c r="U93" s="663">
        <f t="shared" si="112"/>
        <v>154.82374999999956</v>
      </c>
      <c r="V93" s="662">
        <f t="shared" si="92"/>
        <v>2.7050537258670317E-2</v>
      </c>
      <c r="W93" s="661">
        <f t="shared" si="113"/>
        <v>146.95809374999953</v>
      </c>
      <c r="X93" s="659">
        <f t="shared" si="93"/>
        <v>2.4999999999999922E-2</v>
      </c>
      <c r="Y93" s="663">
        <f t="shared" si="114"/>
        <v>301.7818437499991</v>
      </c>
      <c r="Z93" s="659">
        <f t="shared" si="94"/>
        <v>5.2726800690136993E-2</v>
      </c>
      <c r="AA93" s="658">
        <f t="shared" si="115"/>
        <v>150.63204609374952</v>
      </c>
      <c r="AB93" s="659">
        <f t="shared" si="95"/>
        <v>2.4999999999999925E-2</v>
      </c>
      <c r="AC93" s="663">
        <f t="shared" si="116"/>
        <v>452.41388984374862</v>
      </c>
      <c r="AD93" s="664">
        <f t="shared" si="96"/>
        <v>7.9044970707390347E-2</v>
      </c>
      <c r="AE93" s="247">
        <v>350000</v>
      </c>
      <c r="AF93" s="38"/>
      <c r="AG93" s="38"/>
      <c r="AH93" s="238">
        <v>350000</v>
      </c>
      <c r="AI93" s="658">
        <f t="shared" si="117"/>
        <v>154.39784724609308</v>
      </c>
      <c r="AJ93" s="659">
        <f t="shared" si="97"/>
        <v>2.4999999999999897E-2</v>
      </c>
      <c r="AK93" s="663">
        <f t="shared" si="98"/>
        <v>606.8117370898417</v>
      </c>
      <c r="AL93" s="662">
        <f t="shared" si="99"/>
        <v>0.10602109497507499</v>
      </c>
      <c r="AM93" s="658" t="str">
        <f t="shared" si="118"/>
        <v/>
      </c>
      <c r="AN93" s="659" t="str">
        <f t="shared" si="100"/>
        <v/>
      </c>
      <c r="AO93" s="663" t="str">
        <f t="shared" si="101"/>
        <v/>
      </c>
      <c r="AP93" s="662" t="str">
        <f t="shared" si="102"/>
        <v/>
      </c>
      <c r="AQ93" s="661" t="str">
        <f t="shared" si="119"/>
        <v/>
      </c>
      <c r="AR93" s="660" t="str">
        <f t="shared" si="103"/>
        <v/>
      </c>
      <c r="AS93" s="661" t="str">
        <f t="shared" si="104"/>
        <v/>
      </c>
      <c r="AT93" s="664" t="str">
        <f t="shared" si="105"/>
        <v/>
      </c>
      <c r="AU93" s="304"/>
    </row>
    <row r="94" spans="1:47" ht="13.2" x14ac:dyDescent="0.25">
      <c r="A94" s="26"/>
      <c r="B94" s="38"/>
      <c r="C94" s="570" t="s">
        <v>283</v>
      </c>
      <c r="D94" s="680">
        <f t="shared" si="106"/>
        <v>36</v>
      </c>
      <c r="E94" s="594">
        <v>450000</v>
      </c>
      <c r="F94" s="23">
        <f t="shared" si="107"/>
        <v>7248.5</v>
      </c>
      <c r="G94" s="23">
        <f t="shared" si="108"/>
        <v>7260.65</v>
      </c>
      <c r="H94" s="23">
        <f t="shared" si="109"/>
        <v>7442.1662499999993</v>
      </c>
      <c r="I94" s="23">
        <f t="shared" si="109"/>
        <v>7628.2204062499986</v>
      </c>
      <c r="J94" s="23">
        <f t="shared" si="109"/>
        <v>7818.9259164062478</v>
      </c>
      <c r="K94" s="23">
        <f t="shared" si="109"/>
        <v>8014.3990643164034</v>
      </c>
      <c r="L94" s="23"/>
      <c r="M94" s="571"/>
      <c r="N94" s="38"/>
      <c r="O94" s="38"/>
      <c r="P94" s="236">
        <v>450000</v>
      </c>
      <c r="Q94" s="658">
        <f t="shared" si="110"/>
        <v>12.149999999999636</v>
      </c>
      <c r="R94" s="659">
        <f t="shared" si="90"/>
        <v>1.6762088708008052E-3</v>
      </c>
      <c r="S94" s="658">
        <f t="shared" si="111"/>
        <v>181.51624999999967</v>
      </c>
      <c r="T94" s="659">
        <f t="shared" si="91"/>
        <v>2.4999999999999956E-2</v>
      </c>
      <c r="U94" s="663">
        <f t="shared" si="112"/>
        <v>193.66624999999931</v>
      </c>
      <c r="V94" s="662">
        <f t="shared" si="92"/>
        <v>2.6718114092570782E-2</v>
      </c>
      <c r="W94" s="661">
        <f t="shared" si="113"/>
        <v>186.05415624999932</v>
      </c>
      <c r="X94" s="659">
        <f t="shared" si="93"/>
        <v>2.4999999999999911E-2</v>
      </c>
      <c r="Y94" s="663">
        <f t="shared" si="114"/>
        <v>379.72040624999863</v>
      </c>
      <c r="Z94" s="659">
        <f t="shared" si="94"/>
        <v>5.2386066944884957E-2</v>
      </c>
      <c r="AA94" s="658">
        <f t="shared" si="115"/>
        <v>190.70551015624915</v>
      </c>
      <c r="AB94" s="659">
        <f t="shared" si="95"/>
        <v>2.4999999999999894E-2</v>
      </c>
      <c r="AC94" s="663">
        <f t="shared" si="116"/>
        <v>570.42591640624778</v>
      </c>
      <c r="AD94" s="664">
        <f t="shared" si="96"/>
        <v>7.8695718618506966E-2</v>
      </c>
      <c r="AE94" s="247">
        <v>450000</v>
      </c>
      <c r="AF94" s="38"/>
      <c r="AG94" s="38"/>
      <c r="AH94" s="238">
        <v>450000</v>
      </c>
      <c r="AI94" s="658">
        <f t="shared" si="117"/>
        <v>195.4731479101556</v>
      </c>
      <c r="AJ94" s="659">
        <f t="shared" si="97"/>
        <v>2.4999999999999925E-2</v>
      </c>
      <c r="AK94" s="663">
        <f t="shared" si="98"/>
        <v>765.89906431640338</v>
      </c>
      <c r="AL94" s="662">
        <f t="shared" si="99"/>
        <v>0.10566311158396956</v>
      </c>
      <c r="AM94" s="658" t="str">
        <f t="shared" si="118"/>
        <v/>
      </c>
      <c r="AN94" s="659" t="str">
        <f t="shared" si="100"/>
        <v/>
      </c>
      <c r="AO94" s="663" t="str">
        <f t="shared" si="101"/>
        <v/>
      </c>
      <c r="AP94" s="662" t="str">
        <f t="shared" si="102"/>
        <v/>
      </c>
      <c r="AQ94" s="661" t="str">
        <f t="shared" si="119"/>
        <v/>
      </c>
      <c r="AR94" s="660" t="str">
        <f t="shared" si="103"/>
        <v/>
      </c>
      <c r="AS94" s="661" t="str">
        <f t="shared" si="104"/>
        <v/>
      </c>
      <c r="AT94" s="664" t="str">
        <f t="shared" si="105"/>
        <v/>
      </c>
      <c r="AU94" s="304"/>
    </row>
    <row r="95" spans="1:47" ht="13.2" x14ac:dyDescent="0.25">
      <c r="A95" s="26"/>
      <c r="B95" s="38"/>
      <c r="C95" s="570" t="s">
        <v>284</v>
      </c>
      <c r="D95" s="680">
        <f t="shared" si="106"/>
        <v>20</v>
      </c>
      <c r="E95" s="594">
        <v>550000</v>
      </c>
      <c r="F95" s="23">
        <f t="shared" si="107"/>
        <v>8773.5</v>
      </c>
      <c r="G95" s="23">
        <f t="shared" si="108"/>
        <v>8786.35</v>
      </c>
      <c r="H95" s="23">
        <f t="shared" si="109"/>
        <v>9006.0087499999991</v>
      </c>
      <c r="I95" s="23">
        <f t="shared" si="109"/>
        <v>9231.1589687499982</v>
      </c>
      <c r="J95" s="23">
        <f t="shared" si="109"/>
        <v>9461.9379429687469</v>
      </c>
      <c r="K95" s="23">
        <f t="shared" si="109"/>
        <v>9698.4863915429651</v>
      </c>
      <c r="L95" s="23"/>
      <c r="M95" s="571"/>
      <c r="N95" s="38"/>
      <c r="O95" s="38"/>
      <c r="P95" s="236">
        <v>550000</v>
      </c>
      <c r="Q95" s="658">
        <f t="shared" si="110"/>
        <v>12.850000000000364</v>
      </c>
      <c r="R95" s="659">
        <f t="shared" si="90"/>
        <v>1.4646378298285021E-3</v>
      </c>
      <c r="S95" s="658">
        <f t="shared" si="111"/>
        <v>219.65874999999869</v>
      </c>
      <c r="T95" s="659">
        <f t="shared" si="91"/>
        <v>2.4999999999999849E-2</v>
      </c>
      <c r="U95" s="663">
        <f t="shared" si="112"/>
        <v>232.50874999999905</v>
      </c>
      <c r="V95" s="662">
        <f t="shared" si="92"/>
        <v>2.6501253775574066E-2</v>
      </c>
      <c r="W95" s="661">
        <f t="shared" si="113"/>
        <v>225.15021874999911</v>
      </c>
      <c r="X95" s="659">
        <f t="shared" si="93"/>
        <v>2.4999999999999904E-2</v>
      </c>
      <c r="Y95" s="663">
        <f t="shared" si="114"/>
        <v>457.65896874999817</v>
      </c>
      <c r="Z95" s="659">
        <f t="shared" si="94"/>
        <v>5.2163785119963314E-2</v>
      </c>
      <c r="AA95" s="658">
        <f t="shared" si="115"/>
        <v>230.77897421874877</v>
      </c>
      <c r="AB95" s="659">
        <f t="shared" si="95"/>
        <v>2.4999999999999873E-2</v>
      </c>
      <c r="AC95" s="663">
        <f t="shared" si="116"/>
        <v>688.43794296874694</v>
      </c>
      <c r="AD95" s="664">
        <f t="shared" si="96"/>
        <v>7.8467879747962266E-2</v>
      </c>
      <c r="AE95" s="247">
        <v>550000</v>
      </c>
      <c r="AF95" s="38"/>
      <c r="AG95" s="38"/>
      <c r="AH95" s="238">
        <v>550000</v>
      </c>
      <c r="AI95" s="658">
        <f t="shared" si="117"/>
        <v>236.54844857421813</v>
      </c>
      <c r="AJ95" s="659">
        <f t="shared" si="97"/>
        <v>2.4999999999999942E-2</v>
      </c>
      <c r="AK95" s="663">
        <f t="shared" si="98"/>
        <v>924.98639154296507</v>
      </c>
      <c r="AL95" s="662">
        <f t="shared" si="99"/>
        <v>0.10542957674166126</v>
      </c>
      <c r="AM95" s="658" t="str">
        <f t="shared" si="118"/>
        <v/>
      </c>
      <c r="AN95" s="659" t="str">
        <f t="shared" si="100"/>
        <v/>
      </c>
      <c r="AO95" s="663" t="str">
        <f t="shared" si="101"/>
        <v/>
      </c>
      <c r="AP95" s="662" t="str">
        <f t="shared" si="102"/>
        <v/>
      </c>
      <c r="AQ95" s="661" t="str">
        <f t="shared" si="119"/>
        <v/>
      </c>
      <c r="AR95" s="660" t="str">
        <f t="shared" si="103"/>
        <v/>
      </c>
      <c r="AS95" s="661" t="str">
        <f t="shared" si="104"/>
        <v/>
      </c>
      <c r="AT95" s="664" t="str">
        <f t="shared" si="105"/>
        <v/>
      </c>
      <c r="AU95" s="304"/>
    </row>
    <row r="96" spans="1:47" ht="13.2" x14ac:dyDescent="0.25">
      <c r="A96" s="26"/>
      <c r="B96" s="38"/>
      <c r="C96" s="570" t="s">
        <v>285</v>
      </c>
      <c r="D96" s="680">
        <f t="shared" si="106"/>
        <v>10</v>
      </c>
      <c r="E96" s="594">
        <v>650000</v>
      </c>
      <c r="F96" s="23">
        <f t="shared" si="107"/>
        <v>10298.5</v>
      </c>
      <c r="G96" s="23">
        <f t="shared" si="108"/>
        <v>10312.049999999999</v>
      </c>
      <c r="H96" s="23">
        <f t="shared" si="109"/>
        <v>10569.851249999998</v>
      </c>
      <c r="I96" s="23">
        <f t="shared" si="109"/>
        <v>10834.097531249998</v>
      </c>
      <c r="J96" s="23">
        <f t="shared" si="109"/>
        <v>11104.949969531246</v>
      </c>
      <c r="K96" s="23">
        <f t="shared" si="109"/>
        <v>11382.573718769527</v>
      </c>
      <c r="L96" s="23"/>
      <c r="M96" s="571"/>
      <c r="N96" s="38"/>
      <c r="O96" s="38"/>
      <c r="P96" s="236">
        <v>650000</v>
      </c>
      <c r="Q96" s="658">
        <f t="shared" si="110"/>
        <v>13.549999999999272</v>
      </c>
      <c r="R96" s="659">
        <f t="shared" si="90"/>
        <v>1.3157255911054302E-3</v>
      </c>
      <c r="S96" s="658">
        <f t="shared" si="111"/>
        <v>257.80124999999862</v>
      </c>
      <c r="T96" s="659">
        <f t="shared" si="91"/>
        <v>2.4999999999999866E-2</v>
      </c>
      <c r="U96" s="663">
        <f t="shared" si="112"/>
        <v>271.35124999999789</v>
      </c>
      <c r="V96" s="662">
        <f t="shared" si="92"/>
        <v>2.6348618730882935E-2</v>
      </c>
      <c r="W96" s="661">
        <f t="shared" si="113"/>
        <v>264.24628124999981</v>
      </c>
      <c r="X96" s="659">
        <f t="shared" si="93"/>
        <v>2.4999999999999988E-2</v>
      </c>
      <c r="Y96" s="663">
        <f t="shared" si="114"/>
        <v>535.5975312499977</v>
      </c>
      <c r="Z96" s="659">
        <f t="shared" si="94"/>
        <v>5.2007334199154993E-2</v>
      </c>
      <c r="AA96" s="658">
        <f t="shared" si="115"/>
        <v>270.8524382812484</v>
      </c>
      <c r="AB96" s="659">
        <f t="shared" si="95"/>
        <v>2.4999999999999856E-2</v>
      </c>
      <c r="AC96" s="663">
        <f t="shared" si="116"/>
        <v>806.4499695312461</v>
      </c>
      <c r="AD96" s="664">
        <f t="shared" si="96"/>
        <v>7.8307517554133718E-2</v>
      </c>
      <c r="AE96" s="247">
        <v>650000</v>
      </c>
      <c r="AF96" s="38"/>
      <c r="AG96" s="38"/>
      <c r="AH96" s="238">
        <v>650000</v>
      </c>
      <c r="AI96" s="658">
        <f t="shared" si="117"/>
        <v>277.62374923828065</v>
      </c>
      <c r="AJ96" s="659">
        <f t="shared" si="97"/>
        <v>2.4999999999999956E-2</v>
      </c>
      <c r="AK96" s="663">
        <f t="shared" si="98"/>
        <v>1084.0737187695267</v>
      </c>
      <c r="AL96" s="662">
        <f t="shared" si="99"/>
        <v>0.10526520549298701</v>
      </c>
      <c r="AM96" s="658" t="str">
        <f t="shared" si="118"/>
        <v/>
      </c>
      <c r="AN96" s="659" t="str">
        <f t="shared" si="100"/>
        <v/>
      </c>
      <c r="AO96" s="663" t="str">
        <f t="shared" si="101"/>
        <v/>
      </c>
      <c r="AP96" s="662" t="str">
        <f t="shared" si="102"/>
        <v/>
      </c>
      <c r="AQ96" s="661" t="str">
        <f t="shared" si="119"/>
        <v/>
      </c>
      <c r="AR96" s="660" t="str">
        <f t="shared" si="103"/>
        <v/>
      </c>
      <c r="AS96" s="661" t="str">
        <f t="shared" si="104"/>
        <v/>
      </c>
      <c r="AT96" s="664" t="str">
        <f t="shared" si="105"/>
        <v/>
      </c>
      <c r="AU96" s="304"/>
    </row>
    <row r="97" spans="1:47" ht="13.2" x14ac:dyDescent="0.25">
      <c r="A97" s="26"/>
      <c r="B97" s="38"/>
      <c r="C97" s="570" t="s">
        <v>286</v>
      </c>
      <c r="D97" s="680">
        <f t="shared" si="106"/>
        <v>10</v>
      </c>
      <c r="E97" s="594">
        <v>750000</v>
      </c>
      <c r="F97" s="23">
        <f t="shared" si="107"/>
        <v>11823.5</v>
      </c>
      <c r="G97" s="23">
        <f t="shared" si="108"/>
        <v>11837.75</v>
      </c>
      <c r="H97" s="23">
        <f t="shared" si="109"/>
        <v>12133.693749999999</v>
      </c>
      <c r="I97" s="23">
        <f t="shared" si="109"/>
        <v>12437.036093749997</v>
      </c>
      <c r="J97" s="23">
        <f t="shared" si="109"/>
        <v>12747.961996093745</v>
      </c>
      <c r="K97" s="23">
        <f t="shared" si="109"/>
        <v>13066.661045996088</v>
      </c>
      <c r="L97" s="23"/>
      <c r="M97" s="571"/>
      <c r="N97" s="38"/>
      <c r="O97" s="38"/>
      <c r="P97" s="236">
        <v>750000</v>
      </c>
      <c r="Q97" s="658">
        <f t="shared" si="110"/>
        <v>14.25</v>
      </c>
      <c r="R97" s="659">
        <f t="shared" si="90"/>
        <v>1.2052268786738275E-3</v>
      </c>
      <c r="S97" s="658">
        <f t="shared" si="111"/>
        <v>295.94374999999854</v>
      </c>
      <c r="T97" s="659">
        <f t="shared" si="91"/>
        <v>2.4999999999999876E-2</v>
      </c>
      <c r="U97" s="663">
        <f t="shared" si="112"/>
        <v>310.19374999999854</v>
      </c>
      <c r="V97" s="662">
        <f t="shared" si="92"/>
        <v>2.6235357550640551E-2</v>
      </c>
      <c r="W97" s="661">
        <f t="shared" si="113"/>
        <v>303.34234374999869</v>
      </c>
      <c r="X97" s="659">
        <f t="shared" si="93"/>
        <v>2.4999999999999894E-2</v>
      </c>
      <c r="Y97" s="663">
        <f t="shared" si="114"/>
        <v>613.53609374999724</v>
      </c>
      <c r="Z97" s="659">
        <f t="shared" si="94"/>
        <v>5.1891241489406457E-2</v>
      </c>
      <c r="AA97" s="658">
        <f t="shared" si="115"/>
        <v>310.92590234374802</v>
      </c>
      <c r="AB97" s="659">
        <f t="shared" si="95"/>
        <v>2.4999999999999845E-2</v>
      </c>
      <c r="AC97" s="663">
        <f t="shared" si="116"/>
        <v>924.46199609374526</v>
      </c>
      <c r="AD97" s="664">
        <f t="shared" si="96"/>
        <v>7.8188522526641463E-2</v>
      </c>
      <c r="AE97" s="247">
        <v>750000</v>
      </c>
      <c r="AF97" s="38"/>
      <c r="AG97" s="38"/>
      <c r="AH97" s="238">
        <v>750000</v>
      </c>
      <c r="AI97" s="658">
        <f t="shared" si="117"/>
        <v>318.69904990234318</v>
      </c>
      <c r="AJ97" s="659">
        <f t="shared" si="97"/>
        <v>2.4999999999999963E-2</v>
      </c>
      <c r="AK97" s="663">
        <f t="shared" si="98"/>
        <v>1243.1610459960884</v>
      </c>
      <c r="AL97" s="662">
        <f t="shared" si="99"/>
        <v>0.10514323558980745</v>
      </c>
      <c r="AM97" s="658" t="str">
        <f t="shared" si="118"/>
        <v/>
      </c>
      <c r="AN97" s="659" t="str">
        <f t="shared" si="100"/>
        <v/>
      </c>
      <c r="AO97" s="663" t="str">
        <f t="shared" si="101"/>
        <v/>
      </c>
      <c r="AP97" s="662" t="str">
        <f t="shared" si="102"/>
        <v/>
      </c>
      <c r="AQ97" s="661" t="str">
        <f t="shared" si="119"/>
        <v/>
      </c>
      <c r="AR97" s="660" t="str">
        <f t="shared" si="103"/>
        <v/>
      </c>
      <c r="AS97" s="661" t="str">
        <f t="shared" si="104"/>
        <v/>
      </c>
      <c r="AT97" s="664" t="str">
        <f t="shared" si="105"/>
        <v/>
      </c>
      <c r="AU97" s="304"/>
    </row>
    <row r="98" spans="1:47" ht="13.2" x14ac:dyDescent="0.25">
      <c r="A98" s="26"/>
      <c r="B98" s="38"/>
      <c r="C98" s="570" t="s">
        <v>287</v>
      </c>
      <c r="D98" s="680">
        <f t="shared" si="106"/>
        <v>8</v>
      </c>
      <c r="E98" s="594">
        <v>850000</v>
      </c>
      <c r="F98" s="23">
        <f t="shared" si="107"/>
        <v>13348.5</v>
      </c>
      <c r="G98" s="23">
        <f t="shared" si="108"/>
        <v>13363.45</v>
      </c>
      <c r="H98" s="23">
        <f t="shared" si="109"/>
        <v>13697.536249999999</v>
      </c>
      <c r="I98" s="23">
        <f t="shared" si="109"/>
        <v>14039.974656249999</v>
      </c>
      <c r="J98" s="23">
        <f t="shared" si="109"/>
        <v>14390.974022656248</v>
      </c>
      <c r="K98" s="23">
        <f t="shared" si="109"/>
        <v>14750.748373222654</v>
      </c>
      <c r="L98" s="23"/>
      <c r="M98" s="571"/>
      <c r="N98" s="38"/>
      <c r="O98" s="38"/>
      <c r="P98" s="236">
        <v>850000</v>
      </c>
      <c r="Q98" s="658">
        <f t="shared" si="110"/>
        <v>14.950000000000728</v>
      </c>
      <c r="R98" s="659">
        <f t="shared" si="90"/>
        <v>1.1199760272690359E-3</v>
      </c>
      <c r="S98" s="658">
        <f t="shared" si="111"/>
        <v>334.08624999999847</v>
      </c>
      <c r="T98" s="659">
        <f t="shared" si="91"/>
        <v>2.4999999999999883E-2</v>
      </c>
      <c r="U98" s="663">
        <f t="shared" si="112"/>
        <v>349.0362499999992</v>
      </c>
      <c r="V98" s="662">
        <f t="shared" si="92"/>
        <v>2.6147975427950648E-2</v>
      </c>
      <c r="W98" s="661">
        <f t="shared" si="113"/>
        <v>342.43840624999939</v>
      </c>
      <c r="X98" s="659">
        <f t="shared" si="93"/>
        <v>2.4999999999999956E-2</v>
      </c>
      <c r="Y98" s="663">
        <f t="shared" si="114"/>
        <v>691.47465624999859</v>
      </c>
      <c r="Z98" s="659">
        <f t="shared" si="94"/>
        <v>5.1801674813649369E-2</v>
      </c>
      <c r="AA98" s="658">
        <f t="shared" si="115"/>
        <v>350.99936640624946</v>
      </c>
      <c r="AB98" s="659">
        <f t="shared" si="95"/>
        <v>2.4999999999999963E-2</v>
      </c>
      <c r="AC98" s="663">
        <f t="shared" si="116"/>
        <v>1042.4740226562481</v>
      </c>
      <c r="AD98" s="664">
        <f t="shared" si="96"/>
        <v>7.8096716683990569E-2</v>
      </c>
      <c r="AE98" s="247">
        <v>850000</v>
      </c>
      <c r="AF98" s="38"/>
      <c r="AG98" s="38"/>
      <c r="AH98" s="238">
        <v>850000</v>
      </c>
      <c r="AI98" s="658">
        <f t="shared" si="117"/>
        <v>359.7743505664057</v>
      </c>
      <c r="AJ98" s="659">
        <f t="shared" si="97"/>
        <v>2.4999999999999967E-2</v>
      </c>
      <c r="AK98" s="663">
        <f t="shared" si="98"/>
        <v>1402.2483732226538</v>
      </c>
      <c r="AL98" s="662">
        <f t="shared" si="99"/>
        <v>0.10504913460109029</v>
      </c>
      <c r="AM98" s="658" t="str">
        <f t="shared" si="118"/>
        <v/>
      </c>
      <c r="AN98" s="659" t="str">
        <f t="shared" si="100"/>
        <v/>
      </c>
      <c r="AO98" s="663" t="str">
        <f t="shared" si="101"/>
        <v/>
      </c>
      <c r="AP98" s="662" t="str">
        <f t="shared" si="102"/>
        <v/>
      </c>
      <c r="AQ98" s="661" t="str">
        <f t="shared" si="119"/>
        <v/>
      </c>
      <c r="AR98" s="660" t="str">
        <f t="shared" si="103"/>
        <v/>
      </c>
      <c r="AS98" s="661" t="str">
        <f t="shared" si="104"/>
        <v/>
      </c>
      <c r="AT98" s="664" t="str">
        <f t="shared" si="105"/>
        <v/>
      </c>
      <c r="AU98" s="304"/>
    </row>
    <row r="99" spans="1:47" ht="13.2" x14ac:dyDescent="0.25">
      <c r="A99" s="26"/>
      <c r="B99" s="38"/>
      <c r="C99" s="570" t="s">
        <v>288</v>
      </c>
      <c r="D99" s="680">
        <f t="shared" si="106"/>
        <v>3</v>
      </c>
      <c r="E99" s="594">
        <v>950000</v>
      </c>
      <c r="F99" s="23">
        <f t="shared" si="107"/>
        <v>14873.5</v>
      </c>
      <c r="G99" s="23">
        <f t="shared" si="108"/>
        <v>14889.15</v>
      </c>
      <c r="H99" s="23">
        <f t="shared" si="109"/>
        <v>15261.378749999998</v>
      </c>
      <c r="I99" s="23">
        <f t="shared" si="109"/>
        <v>15642.913218749996</v>
      </c>
      <c r="J99" s="23">
        <f t="shared" si="109"/>
        <v>16033.986049218745</v>
      </c>
      <c r="K99" s="23">
        <f t="shared" si="109"/>
        <v>16434.835700449214</v>
      </c>
      <c r="L99" s="23"/>
      <c r="M99" s="571"/>
      <c r="N99" s="38"/>
      <c r="O99" s="38"/>
      <c r="P99" s="236">
        <v>950000</v>
      </c>
      <c r="Q99" s="658">
        <f t="shared" si="110"/>
        <v>15.649999999999636</v>
      </c>
      <c r="R99" s="659">
        <f t="shared" si="90"/>
        <v>1.0522069452381507E-3</v>
      </c>
      <c r="S99" s="658">
        <f t="shared" si="111"/>
        <v>372.2287499999984</v>
      </c>
      <c r="T99" s="659">
        <f t="shared" si="91"/>
        <v>2.4999999999999894E-2</v>
      </c>
      <c r="U99" s="663">
        <f t="shared" si="112"/>
        <v>387.87874999999804</v>
      </c>
      <c r="V99" s="662">
        <f t="shared" si="92"/>
        <v>2.6078512118868996E-2</v>
      </c>
      <c r="W99" s="661">
        <f t="shared" si="113"/>
        <v>381.53446874999827</v>
      </c>
      <c r="X99" s="659">
        <f t="shared" si="93"/>
        <v>2.499999999999989E-2</v>
      </c>
      <c r="Y99" s="663">
        <f t="shared" si="114"/>
        <v>769.4132187499963</v>
      </c>
      <c r="Z99" s="659">
        <f t="shared" si="94"/>
        <v>5.1730474921840609E-2</v>
      </c>
      <c r="AA99" s="658">
        <f t="shared" si="115"/>
        <v>391.07283046874909</v>
      </c>
      <c r="AB99" s="659">
        <f t="shared" si="95"/>
        <v>2.4999999999999949E-2</v>
      </c>
      <c r="AC99" s="663">
        <f t="shared" si="116"/>
        <v>1160.4860492187454</v>
      </c>
      <c r="AD99" s="664">
        <f t="shared" si="96"/>
        <v>7.802373679488657E-2</v>
      </c>
      <c r="AE99" s="247">
        <v>950000</v>
      </c>
      <c r="AF99" s="38"/>
      <c r="AG99" s="38"/>
      <c r="AH99" s="238">
        <v>950000</v>
      </c>
      <c r="AI99" s="658">
        <f t="shared" si="117"/>
        <v>400.84965123046823</v>
      </c>
      <c r="AJ99" s="659">
        <f t="shared" si="97"/>
        <v>2.4999999999999974E-2</v>
      </c>
      <c r="AK99" s="663">
        <f t="shared" si="98"/>
        <v>1561.3357004492136</v>
      </c>
      <c r="AL99" s="662">
        <f t="shared" si="99"/>
        <v>0.1049743302147587</v>
      </c>
      <c r="AM99" s="658" t="str">
        <f t="shared" si="118"/>
        <v/>
      </c>
      <c r="AN99" s="659" t="str">
        <f t="shared" si="100"/>
        <v/>
      </c>
      <c r="AO99" s="663" t="str">
        <f t="shared" si="101"/>
        <v/>
      </c>
      <c r="AP99" s="662" t="str">
        <f t="shared" si="102"/>
        <v/>
      </c>
      <c r="AQ99" s="661" t="str">
        <f t="shared" si="119"/>
        <v/>
      </c>
      <c r="AR99" s="660" t="str">
        <f t="shared" si="103"/>
        <v/>
      </c>
      <c r="AS99" s="661" t="str">
        <f t="shared" si="104"/>
        <v/>
      </c>
      <c r="AT99" s="664" t="str">
        <f t="shared" si="105"/>
        <v/>
      </c>
      <c r="AU99" s="304"/>
    </row>
    <row r="100" spans="1:47" ht="13.2" x14ac:dyDescent="0.25">
      <c r="A100" s="26"/>
      <c r="B100" s="38"/>
      <c r="C100" s="570" t="s">
        <v>290</v>
      </c>
      <c r="D100" s="680">
        <f t="shared" si="106"/>
        <v>19</v>
      </c>
      <c r="E100" s="594">
        <v>1250000</v>
      </c>
      <c r="F100" s="23">
        <f t="shared" si="107"/>
        <v>19448.5</v>
      </c>
      <c r="G100" s="23">
        <f t="shared" si="108"/>
        <v>19466.25</v>
      </c>
      <c r="H100" s="23">
        <f t="shared" si="109"/>
        <v>19952.90625</v>
      </c>
      <c r="I100" s="23">
        <f t="shared" si="109"/>
        <v>20451.728906249999</v>
      </c>
      <c r="J100" s="23">
        <f t="shared" si="109"/>
        <v>20963.022128906247</v>
      </c>
      <c r="K100" s="23">
        <f t="shared" si="109"/>
        <v>21487.0976821289</v>
      </c>
      <c r="L100" s="23"/>
      <c r="M100" s="571"/>
      <c r="N100" s="38"/>
      <c r="O100" s="38"/>
      <c r="P100" s="236">
        <v>1250000</v>
      </c>
      <c r="Q100" s="658">
        <f t="shared" si="110"/>
        <v>17.75</v>
      </c>
      <c r="R100" s="659">
        <f t="shared" si="90"/>
        <v>9.1266678664164334E-4</v>
      </c>
      <c r="S100" s="658">
        <f t="shared" si="111"/>
        <v>486.65625</v>
      </c>
      <c r="T100" s="659">
        <f t="shared" si="91"/>
        <v>2.5000000000000001E-2</v>
      </c>
      <c r="U100" s="663">
        <f t="shared" si="112"/>
        <v>504.40625</v>
      </c>
      <c r="V100" s="662">
        <f t="shared" si="92"/>
        <v>2.5935483456307685E-2</v>
      </c>
      <c r="W100" s="661">
        <f t="shared" si="113"/>
        <v>498.82265624999854</v>
      </c>
      <c r="X100" s="659">
        <f t="shared" si="93"/>
        <v>2.4999999999999929E-2</v>
      </c>
      <c r="Y100" s="663">
        <f t="shared" si="114"/>
        <v>1003.2289062499985</v>
      </c>
      <c r="Z100" s="659">
        <f t="shared" si="94"/>
        <v>5.15838705427153E-2</v>
      </c>
      <c r="AA100" s="658">
        <f t="shared" si="115"/>
        <v>511.29322265624796</v>
      </c>
      <c r="AB100" s="659">
        <f t="shared" si="95"/>
        <v>2.4999999999999901E-2</v>
      </c>
      <c r="AC100" s="663">
        <f t="shared" si="116"/>
        <v>1514.5221289062465</v>
      </c>
      <c r="AD100" s="664">
        <f t="shared" si="96"/>
        <v>7.7873467306283084E-2</v>
      </c>
      <c r="AE100" s="247">
        <v>1250000</v>
      </c>
      <c r="AF100" s="38"/>
      <c r="AG100" s="38"/>
      <c r="AH100" s="238">
        <v>1250000</v>
      </c>
      <c r="AI100" s="658">
        <f t="shared" si="117"/>
        <v>524.07555322265398</v>
      </c>
      <c r="AJ100" s="659">
        <f t="shared" si="97"/>
        <v>2.4999999999999897E-2</v>
      </c>
      <c r="AK100" s="663">
        <f t="shared" si="98"/>
        <v>2038.5976821289005</v>
      </c>
      <c r="AL100" s="662">
        <f t="shared" si="99"/>
        <v>0.10482030398894004</v>
      </c>
      <c r="AM100" s="658" t="str">
        <f t="shared" si="118"/>
        <v/>
      </c>
      <c r="AN100" s="659" t="str">
        <f t="shared" si="100"/>
        <v/>
      </c>
      <c r="AO100" s="663" t="str">
        <f t="shared" si="101"/>
        <v/>
      </c>
      <c r="AP100" s="662" t="str">
        <f t="shared" si="102"/>
        <v/>
      </c>
      <c r="AQ100" s="661" t="str">
        <f t="shared" si="119"/>
        <v/>
      </c>
      <c r="AR100" s="660" t="str">
        <f t="shared" si="103"/>
        <v/>
      </c>
      <c r="AS100" s="661" t="str">
        <f t="shared" si="104"/>
        <v/>
      </c>
      <c r="AT100" s="664" t="str">
        <f t="shared" si="105"/>
        <v/>
      </c>
      <c r="AU100" s="304"/>
    </row>
    <row r="101" spans="1:47" ht="13.2" x14ac:dyDescent="0.25">
      <c r="A101" s="26"/>
      <c r="B101" s="38"/>
      <c r="C101" s="570" t="s">
        <v>291</v>
      </c>
      <c r="D101" s="680">
        <f t="shared" si="106"/>
        <v>5</v>
      </c>
      <c r="E101" s="594">
        <v>1750000</v>
      </c>
      <c r="F101" s="23">
        <f t="shared" si="107"/>
        <v>27073.5</v>
      </c>
      <c r="G101" s="23">
        <f t="shared" si="108"/>
        <v>27094.75</v>
      </c>
      <c r="H101" s="23">
        <f t="shared" si="109"/>
        <v>27772.118749999998</v>
      </c>
      <c r="I101" s="23">
        <f t="shared" si="109"/>
        <v>28466.421718749996</v>
      </c>
      <c r="J101" s="23">
        <f t="shared" si="109"/>
        <v>29178.082261718744</v>
      </c>
      <c r="K101" s="23">
        <f t="shared" si="109"/>
        <v>29907.534318261711</v>
      </c>
      <c r="L101" s="23"/>
      <c r="M101" s="571"/>
      <c r="N101" s="38"/>
      <c r="O101" s="38"/>
      <c r="P101" s="236">
        <v>1750000</v>
      </c>
      <c r="Q101" s="658">
        <f t="shared" si="110"/>
        <v>21.25</v>
      </c>
      <c r="R101" s="659">
        <f t="shared" si="90"/>
        <v>7.8490036382440392E-4</v>
      </c>
      <c r="S101" s="658">
        <f t="shared" si="111"/>
        <v>677.36874999999782</v>
      </c>
      <c r="T101" s="659">
        <f t="shared" si="91"/>
        <v>2.4999999999999918E-2</v>
      </c>
      <c r="U101" s="663">
        <f t="shared" si="112"/>
        <v>698.61874999999782</v>
      </c>
      <c r="V101" s="662">
        <f t="shared" si="92"/>
        <v>2.5804522872919934E-2</v>
      </c>
      <c r="W101" s="661">
        <f t="shared" si="113"/>
        <v>694.3029687499984</v>
      </c>
      <c r="X101" s="659">
        <f t="shared" si="93"/>
        <v>2.4999999999999946E-2</v>
      </c>
      <c r="Y101" s="663">
        <f t="shared" si="114"/>
        <v>1392.9217187499962</v>
      </c>
      <c r="Z101" s="659">
        <f t="shared" si="94"/>
        <v>5.1449635944742875E-2</v>
      </c>
      <c r="AA101" s="658">
        <f t="shared" si="115"/>
        <v>711.6605429687479</v>
      </c>
      <c r="AB101" s="659">
        <f t="shared" si="95"/>
        <v>2.4999999999999929E-2</v>
      </c>
      <c r="AC101" s="663">
        <f t="shared" si="116"/>
        <v>2104.5822617187441</v>
      </c>
      <c r="AD101" s="664">
        <f t="shared" si="96"/>
        <v>7.7735876843361376E-2</v>
      </c>
      <c r="AE101" s="247">
        <v>1750000</v>
      </c>
      <c r="AF101" s="38"/>
      <c r="AG101" s="38"/>
      <c r="AH101" s="238">
        <v>1750000</v>
      </c>
      <c r="AI101" s="658">
        <f t="shared" si="117"/>
        <v>729.4520565429666</v>
      </c>
      <c r="AJ101" s="659">
        <f t="shared" si="97"/>
        <v>2.4999999999999932E-2</v>
      </c>
      <c r="AK101" s="663">
        <f t="shared" si="98"/>
        <v>2834.0343182617107</v>
      </c>
      <c r="AL101" s="662">
        <f t="shared" si="99"/>
        <v>0.10467927376444533</v>
      </c>
      <c r="AM101" s="658" t="str">
        <f t="shared" si="118"/>
        <v/>
      </c>
      <c r="AN101" s="659" t="str">
        <f t="shared" si="100"/>
        <v/>
      </c>
      <c r="AO101" s="663" t="str">
        <f t="shared" si="101"/>
        <v/>
      </c>
      <c r="AP101" s="662" t="str">
        <f t="shared" si="102"/>
        <v/>
      </c>
      <c r="AQ101" s="661" t="str">
        <f t="shared" si="119"/>
        <v/>
      </c>
      <c r="AR101" s="660" t="str">
        <f t="shared" si="103"/>
        <v/>
      </c>
      <c r="AS101" s="661" t="str">
        <f t="shared" si="104"/>
        <v/>
      </c>
      <c r="AT101" s="664" t="str">
        <f t="shared" si="105"/>
        <v/>
      </c>
      <c r="AU101" s="304"/>
    </row>
    <row r="102" spans="1:47" ht="13.2" x14ac:dyDescent="0.25">
      <c r="A102" s="26"/>
      <c r="B102" s="38"/>
      <c r="C102" s="570" t="s">
        <v>292</v>
      </c>
      <c r="D102" s="680">
        <f t="shared" si="106"/>
        <v>1</v>
      </c>
      <c r="E102" s="594">
        <v>2500000</v>
      </c>
      <c r="F102" s="23">
        <f t="shared" si="107"/>
        <v>38511</v>
      </c>
      <c r="G102" s="23">
        <f t="shared" si="108"/>
        <v>38537.5</v>
      </c>
      <c r="H102" s="23">
        <f t="shared" si="109"/>
        <v>39500.9375</v>
      </c>
      <c r="I102" s="23">
        <f t="shared" si="109"/>
        <v>40488.4609375</v>
      </c>
      <c r="J102" s="23">
        <f t="shared" si="109"/>
        <v>41500.672460937494</v>
      </c>
      <c r="K102" s="23">
        <f t="shared" si="109"/>
        <v>42538.189272460928</v>
      </c>
      <c r="L102" s="23"/>
      <c r="M102" s="571"/>
      <c r="N102" s="38"/>
      <c r="O102" s="38"/>
      <c r="P102" s="236">
        <v>2500000</v>
      </c>
      <c r="Q102" s="658">
        <f t="shared" si="110"/>
        <v>26.5</v>
      </c>
      <c r="R102" s="659">
        <f t="shared" si="90"/>
        <v>6.8811508400197345E-4</v>
      </c>
      <c r="S102" s="658">
        <f t="shared" si="111"/>
        <v>963.4375</v>
      </c>
      <c r="T102" s="659">
        <f t="shared" si="91"/>
        <v>2.5000000000000001E-2</v>
      </c>
      <c r="U102" s="663">
        <f t="shared" si="112"/>
        <v>989.9375</v>
      </c>
      <c r="V102" s="662">
        <f t="shared" si="92"/>
        <v>2.5705317961102023E-2</v>
      </c>
      <c r="W102" s="661">
        <f t="shared" si="113"/>
        <v>987.5234375</v>
      </c>
      <c r="X102" s="659">
        <f t="shared" si="93"/>
        <v>2.5000000000000001E-2</v>
      </c>
      <c r="Y102" s="663">
        <f t="shared" si="114"/>
        <v>1977.4609375</v>
      </c>
      <c r="Z102" s="659">
        <f t="shared" si="94"/>
        <v>5.1347950910129572E-2</v>
      </c>
      <c r="AA102" s="658">
        <f t="shared" si="115"/>
        <v>1012.2115234374942</v>
      </c>
      <c r="AB102" s="659">
        <f t="shared" si="95"/>
        <v>2.4999999999999856E-2</v>
      </c>
      <c r="AC102" s="663">
        <f t="shared" si="116"/>
        <v>2989.6724609374942</v>
      </c>
      <c r="AD102" s="664">
        <f t="shared" si="96"/>
        <v>7.7631649682882664E-2</v>
      </c>
      <c r="AE102" s="247">
        <v>2500000</v>
      </c>
      <c r="AF102" s="38"/>
      <c r="AG102" s="38"/>
      <c r="AH102" s="238">
        <v>2500000</v>
      </c>
      <c r="AI102" s="658">
        <f t="shared" si="117"/>
        <v>1037.5168115234337</v>
      </c>
      <c r="AJ102" s="659">
        <f t="shared" si="97"/>
        <v>2.4999999999999911E-2</v>
      </c>
      <c r="AK102" s="663">
        <f t="shared" si="98"/>
        <v>4027.1892724609279</v>
      </c>
      <c r="AL102" s="662">
        <f t="shared" si="99"/>
        <v>0.10457244092495463</v>
      </c>
      <c r="AM102" s="658" t="str">
        <f t="shared" si="118"/>
        <v/>
      </c>
      <c r="AN102" s="659" t="str">
        <f t="shared" si="100"/>
        <v/>
      </c>
      <c r="AO102" s="663" t="str">
        <f t="shared" si="101"/>
        <v/>
      </c>
      <c r="AP102" s="662" t="str">
        <f t="shared" si="102"/>
        <v/>
      </c>
      <c r="AQ102" s="661" t="str">
        <f t="shared" si="119"/>
        <v/>
      </c>
      <c r="AR102" s="660" t="str">
        <f t="shared" si="103"/>
        <v/>
      </c>
      <c r="AS102" s="661" t="str">
        <f t="shared" si="104"/>
        <v/>
      </c>
      <c r="AT102" s="664" t="str">
        <f t="shared" si="105"/>
        <v/>
      </c>
      <c r="AU102" s="304"/>
    </row>
    <row r="103" spans="1:47" ht="13.8" thickBot="1" x14ac:dyDescent="0.3">
      <c r="A103" s="26"/>
      <c r="B103" s="38"/>
      <c r="C103" s="563" t="s">
        <v>15</v>
      </c>
      <c r="D103" s="681">
        <f t="shared" si="106"/>
        <v>5</v>
      </c>
      <c r="E103" s="573">
        <v>3000000</v>
      </c>
      <c r="F103" s="23">
        <f t="shared" si="107"/>
        <v>46136</v>
      </c>
      <c r="G103" s="23">
        <f t="shared" si="108"/>
        <v>46166</v>
      </c>
      <c r="H103" s="23">
        <f t="shared" si="109"/>
        <v>47320.149999999994</v>
      </c>
      <c r="I103" s="23">
        <f t="shared" si="109"/>
        <v>48503.15374999999</v>
      </c>
      <c r="J103" s="23">
        <f t="shared" si="109"/>
        <v>49715.732593749985</v>
      </c>
      <c r="K103" s="23">
        <f t="shared" si="109"/>
        <v>50958.625908593727</v>
      </c>
      <c r="L103" s="574"/>
      <c r="M103" s="575"/>
      <c r="N103" s="38"/>
      <c r="O103" s="38"/>
      <c r="P103" s="239">
        <v>3000000</v>
      </c>
      <c r="Q103" s="678">
        <f t="shared" si="110"/>
        <v>30</v>
      </c>
      <c r="R103" s="672">
        <f t="shared" si="90"/>
        <v>6.5025143055314719E-4</v>
      </c>
      <c r="S103" s="678">
        <f t="shared" si="111"/>
        <v>1154.1499999999942</v>
      </c>
      <c r="T103" s="672">
        <f t="shared" si="91"/>
        <v>2.4999999999999873E-2</v>
      </c>
      <c r="U103" s="673">
        <f t="shared" si="112"/>
        <v>1184.1499999999942</v>
      </c>
      <c r="V103" s="679">
        <f t="shared" si="92"/>
        <v>2.5666507716316851E-2</v>
      </c>
      <c r="W103" s="671">
        <f t="shared" si="113"/>
        <v>1183.0037499999962</v>
      </c>
      <c r="X103" s="672">
        <f t="shared" si="93"/>
        <v>2.4999999999999922E-2</v>
      </c>
      <c r="Y103" s="670">
        <f t="shared" si="114"/>
        <v>2367.1537499999904</v>
      </c>
      <c r="Z103" s="672">
        <f t="shared" si="94"/>
        <v>5.1308170409224689E-2</v>
      </c>
      <c r="AA103" s="678">
        <f t="shared" si="115"/>
        <v>1212.5788437499941</v>
      </c>
      <c r="AB103" s="672">
        <f t="shared" si="95"/>
        <v>2.4999999999999883E-2</v>
      </c>
      <c r="AC103" s="673">
        <f t="shared" si="116"/>
        <v>3579.7325937499845</v>
      </c>
      <c r="AD103" s="674">
        <f t="shared" si="96"/>
        <v>7.759087466945519E-2</v>
      </c>
      <c r="AE103" s="248">
        <v>3000000</v>
      </c>
      <c r="AF103" s="38"/>
      <c r="AG103" s="38"/>
      <c r="AH103" s="241">
        <v>3000000</v>
      </c>
      <c r="AI103" s="665">
        <f t="shared" si="117"/>
        <v>1242.8933148437427</v>
      </c>
      <c r="AJ103" s="666">
        <f t="shared" si="97"/>
        <v>2.4999999999999863E-2</v>
      </c>
      <c r="AK103" s="670">
        <f t="shared" si="98"/>
        <v>4822.6259085937272</v>
      </c>
      <c r="AL103" s="669">
        <f t="shared" si="99"/>
        <v>0.10453064653619142</v>
      </c>
      <c r="AM103" s="665" t="str">
        <f t="shared" si="118"/>
        <v/>
      </c>
      <c r="AN103" s="666" t="str">
        <f t="shared" si="100"/>
        <v/>
      </c>
      <c r="AO103" s="670" t="str">
        <f t="shared" si="101"/>
        <v/>
      </c>
      <c r="AP103" s="669" t="str">
        <f t="shared" si="102"/>
        <v/>
      </c>
      <c r="AQ103" s="668" t="str">
        <f t="shared" si="119"/>
        <v/>
      </c>
      <c r="AR103" s="667" t="str">
        <f t="shared" si="103"/>
        <v/>
      </c>
      <c r="AS103" s="668" t="str">
        <f t="shared" si="104"/>
        <v/>
      </c>
      <c r="AT103" s="675" t="str">
        <f t="shared" si="105"/>
        <v/>
      </c>
      <c r="AU103" s="304"/>
    </row>
    <row r="104" spans="1:47" ht="13.8" thickTop="1" x14ac:dyDescent="0.25">
      <c r="A104" s="26"/>
      <c r="B104" s="38"/>
      <c r="C104" s="302"/>
      <c r="D104" s="310"/>
      <c r="E104" s="243"/>
      <c r="F104" s="302"/>
      <c r="G104" s="302"/>
      <c r="H104" s="302"/>
      <c r="I104" s="302"/>
      <c r="J104" s="302"/>
      <c r="K104" s="302"/>
      <c r="L104" s="302"/>
      <c r="M104" s="302"/>
      <c r="N104" s="38"/>
      <c r="O104" s="38"/>
      <c r="P104" s="243"/>
      <c r="Q104" s="305"/>
      <c r="R104" s="306"/>
      <c r="S104" s="305"/>
      <c r="T104" s="306"/>
      <c r="U104" s="305"/>
      <c r="V104" s="306"/>
      <c r="W104" s="305"/>
      <c r="X104" s="306"/>
      <c r="Y104" s="303"/>
      <c r="Z104" s="306"/>
      <c r="AA104" s="305"/>
      <c r="AB104" s="306"/>
      <c r="AC104" s="305"/>
      <c r="AD104" s="306"/>
      <c r="AE104" s="243"/>
      <c r="AF104" s="38"/>
      <c r="AG104" s="38"/>
      <c r="AH104" s="243"/>
      <c r="AI104" s="303"/>
      <c r="AJ104" s="304"/>
      <c r="AK104" s="303"/>
      <c r="AL104" s="304"/>
      <c r="AM104" s="303"/>
      <c r="AN104" s="304"/>
      <c r="AO104" s="303"/>
      <c r="AP104" s="304"/>
      <c r="AQ104" s="303"/>
      <c r="AR104" s="304"/>
      <c r="AS104" s="303"/>
      <c r="AT104" s="304"/>
      <c r="AU104" s="304"/>
    </row>
    <row r="105" spans="1:47" x14ac:dyDescent="0.2">
      <c r="A105" s="26"/>
      <c r="B105" s="38"/>
      <c r="C105" s="38"/>
      <c r="D105" s="38"/>
      <c r="E105" s="213"/>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2"/>
      <c r="AF105" s="38"/>
      <c r="AG105" s="38"/>
      <c r="AH105" s="38"/>
      <c r="AI105" s="38"/>
      <c r="AJ105" s="38"/>
      <c r="AK105" s="38"/>
      <c r="AL105" s="38"/>
      <c r="AM105" s="38"/>
      <c r="AN105" s="38"/>
      <c r="AO105" s="38"/>
      <c r="AP105" s="38"/>
      <c r="AQ105" s="38"/>
      <c r="AR105" s="38"/>
      <c r="AS105" s="38"/>
      <c r="AT105" s="38"/>
      <c r="AU105" s="38"/>
    </row>
    <row r="106" spans="1:47" ht="15.6" x14ac:dyDescent="0.3">
      <c r="A106" s="26"/>
      <c r="B106" s="38"/>
      <c r="C106" s="83" t="s">
        <v>304</v>
      </c>
      <c r="D106" s="38"/>
      <c r="E106" s="213"/>
      <c r="F106" s="38"/>
      <c r="G106" s="38"/>
      <c r="H106" s="38"/>
      <c r="I106" s="38"/>
      <c r="J106" s="38"/>
      <c r="K106" s="38"/>
      <c r="L106" s="38"/>
      <c r="M106" s="38"/>
      <c r="N106" s="38"/>
      <c r="O106" s="38"/>
      <c r="P106" s="83" t="s">
        <v>304</v>
      </c>
      <c r="Q106" s="38"/>
      <c r="R106" s="38"/>
      <c r="S106" s="38"/>
      <c r="T106" s="38"/>
      <c r="U106" s="38"/>
      <c r="V106" s="38"/>
      <c r="W106" s="38"/>
      <c r="X106" s="38"/>
      <c r="Y106" s="38"/>
      <c r="Z106" s="38"/>
      <c r="AA106" s="38"/>
      <c r="AB106" s="38"/>
      <c r="AC106" s="38"/>
      <c r="AD106" s="38"/>
      <c r="AE106" s="38"/>
      <c r="AF106" s="38"/>
      <c r="AG106" s="38"/>
      <c r="AH106" s="83" t="s">
        <v>304</v>
      </c>
      <c r="AI106" s="38"/>
      <c r="AJ106" s="38"/>
      <c r="AK106" s="38"/>
      <c r="AL106" s="38"/>
      <c r="AM106" s="38"/>
      <c r="AN106" s="38"/>
      <c r="AO106" s="38"/>
      <c r="AP106" s="38"/>
      <c r="AQ106" s="38"/>
      <c r="AR106" s="38"/>
      <c r="AS106" s="38"/>
      <c r="AT106" s="38"/>
      <c r="AU106" s="38"/>
    </row>
    <row r="107" spans="1:47" ht="4.5" customHeight="1" thickBot="1" x14ac:dyDescent="0.35">
      <c r="A107" s="26"/>
      <c r="B107" s="38"/>
      <c r="C107" s="83"/>
      <c r="D107" s="38"/>
      <c r="E107" s="213"/>
      <c r="F107" s="38"/>
      <c r="G107" s="38"/>
      <c r="H107" s="38"/>
      <c r="I107" s="38"/>
      <c r="J107" s="38"/>
      <c r="K107" s="38"/>
      <c r="L107" s="38"/>
      <c r="M107" s="38"/>
      <c r="N107" s="38"/>
      <c r="O107" s="38"/>
      <c r="P107" s="38"/>
      <c r="Q107" s="244"/>
      <c r="R107" s="244"/>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row>
    <row r="108" spans="1:47" ht="16.8" thickTop="1" thickBot="1" x14ac:dyDescent="0.35">
      <c r="A108" s="26"/>
      <c r="B108" s="38"/>
      <c r="C108" s="38"/>
      <c r="D108" s="38"/>
      <c r="E108" s="213"/>
      <c r="F108" s="217"/>
      <c r="G108" s="218"/>
      <c r="H108" s="844" t="s">
        <v>303</v>
      </c>
      <c r="I108" s="808"/>
      <c r="J108" s="808"/>
      <c r="K108" s="808"/>
      <c r="L108" s="808"/>
      <c r="M108" s="809"/>
      <c r="N108" s="38"/>
      <c r="O108" s="38"/>
      <c r="P108" s="38"/>
      <c r="Q108" s="820" t="s">
        <v>595</v>
      </c>
      <c r="R108" s="821"/>
      <c r="S108" s="821"/>
      <c r="T108" s="821"/>
      <c r="U108" s="821"/>
      <c r="V108" s="821"/>
      <c r="W108" s="821"/>
      <c r="X108" s="821"/>
      <c r="Y108" s="821"/>
      <c r="Z108" s="821"/>
      <c r="AA108" s="821"/>
      <c r="AB108" s="821"/>
      <c r="AC108" s="821"/>
      <c r="AD108" s="822"/>
      <c r="AE108" s="219"/>
      <c r="AF108" s="38"/>
      <c r="AG108" s="38"/>
      <c r="AH108" s="820" t="s">
        <v>595</v>
      </c>
      <c r="AI108" s="821"/>
      <c r="AJ108" s="821"/>
      <c r="AK108" s="821"/>
      <c r="AL108" s="821"/>
      <c r="AM108" s="821"/>
      <c r="AN108" s="821"/>
      <c r="AO108" s="821"/>
      <c r="AP108" s="821"/>
      <c r="AQ108" s="821"/>
      <c r="AR108" s="821"/>
      <c r="AS108" s="821"/>
      <c r="AT108" s="822"/>
      <c r="AU108" s="309"/>
    </row>
    <row r="109" spans="1:47" ht="48" customHeight="1" thickTop="1" x14ac:dyDescent="0.2">
      <c r="A109" s="26"/>
      <c r="B109" s="38"/>
      <c r="C109" s="577" t="s">
        <v>289</v>
      </c>
      <c r="D109" s="842" t="s">
        <v>581</v>
      </c>
      <c r="E109" s="567" t="s">
        <v>293</v>
      </c>
      <c r="F109" s="592" t="s">
        <v>310</v>
      </c>
      <c r="G109" s="592" t="s">
        <v>608</v>
      </c>
      <c r="H109" s="592" t="s">
        <v>609</v>
      </c>
      <c r="I109" s="592" t="s">
        <v>610</v>
      </c>
      <c r="J109" s="592" t="s">
        <v>611</v>
      </c>
      <c r="K109" s="592" t="s">
        <v>612</v>
      </c>
      <c r="L109" s="592" t="s">
        <v>613</v>
      </c>
      <c r="M109" s="568" t="s">
        <v>614</v>
      </c>
      <c r="N109" s="38"/>
      <c r="O109" s="38"/>
      <c r="P109" s="221" t="s">
        <v>293</v>
      </c>
      <c r="Q109" s="828" t="s">
        <v>294</v>
      </c>
      <c r="R109" s="826"/>
      <c r="S109" s="823" t="s">
        <v>295</v>
      </c>
      <c r="T109" s="824"/>
      <c r="U109" s="824"/>
      <c r="V109" s="825"/>
      <c r="W109" s="796" t="s">
        <v>296</v>
      </c>
      <c r="X109" s="826"/>
      <c r="Y109" s="826"/>
      <c r="Z109" s="826"/>
      <c r="AA109" s="823" t="s">
        <v>297</v>
      </c>
      <c r="AB109" s="824"/>
      <c r="AC109" s="824"/>
      <c r="AD109" s="827"/>
      <c r="AE109" s="249" t="s">
        <v>293</v>
      </c>
      <c r="AF109" s="38"/>
      <c r="AG109" s="38"/>
      <c r="AH109" s="245" t="s">
        <v>293</v>
      </c>
      <c r="AI109" s="823" t="s">
        <v>298</v>
      </c>
      <c r="AJ109" s="824"/>
      <c r="AK109" s="824"/>
      <c r="AL109" s="825"/>
      <c r="AM109" s="796" t="s">
        <v>299</v>
      </c>
      <c r="AN109" s="826"/>
      <c r="AO109" s="826"/>
      <c r="AP109" s="826"/>
      <c r="AQ109" s="823" t="s">
        <v>300</v>
      </c>
      <c r="AR109" s="824"/>
      <c r="AS109" s="824"/>
      <c r="AT109" s="827"/>
      <c r="AU109" s="222"/>
    </row>
    <row r="110" spans="1:47" ht="19.5" customHeight="1" x14ac:dyDescent="0.25">
      <c r="A110" s="26"/>
      <c r="B110" s="38"/>
      <c r="C110" s="569"/>
      <c r="D110" s="843"/>
      <c r="E110" s="593"/>
      <c r="F110" s="629" t="str">
        <f>'WK5a - Impact on Rates'!E59</f>
        <v>2017-18</v>
      </c>
      <c r="G110" s="629" t="str">
        <f>'WK5a - Impact on Rates'!F59</f>
        <v>2018-19</v>
      </c>
      <c r="H110" s="629" t="str">
        <f>'WK5a - Impact on Rates'!G59</f>
        <v>2019-20</v>
      </c>
      <c r="I110" s="629" t="str">
        <f>'WK5a - Impact on Rates'!H59</f>
        <v>2020-21</v>
      </c>
      <c r="J110" s="629" t="str">
        <f>'WK5a - Impact on Rates'!I59</f>
        <v>2021-22</v>
      </c>
      <c r="K110" s="629" t="str">
        <f>'WK5a - Impact on Rates'!J59</f>
        <v>2022-23</v>
      </c>
      <c r="L110" s="629" t="str">
        <f>'WK5a - Impact on Rates'!K59</f>
        <v>2023-24</v>
      </c>
      <c r="M110" s="652" t="str">
        <f>'WK5a - Impact on Rates'!L59</f>
        <v>2024-25</v>
      </c>
      <c r="N110" s="38"/>
      <c r="O110" s="38"/>
      <c r="P110" s="225" t="s">
        <v>71</v>
      </c>
      <c r="Q110" s="226" t="s">
        <v>44</v>
      </c>
      <c r="R110" s="227" t="s">
        <v>67</v>
      </c>
      <c r="S110" s="226" t="s">
        <v>44</v>
      </c>
      <c r="T110" s="228" t="s">
        <v>67</v>
      </c>
      <c r="U110" s="229" t="s">
        <v>45</v>
      </c>
      <c r="V110" s="230" t="s">
        <v>67</v>
      </c>
      <c r="W110" s="229" t="s">
        <v>44</v>
      </c>
      <c r="X110" s="231" t="s">
        <v>67</v>
      </c>
      <c r="Y110" s="228" t="s">
        <v>45</v>
      </c>
      <c r="Z110" s="227" t="s">
        <v>67</v>
      </c>
      <c r="AA110" s="226" t="s">
        <v>44</v>
      </c>
      <c r="AB110" s="228" t="s">
        <v>67</v>
      </c>
      <c r="AC110" s="228" t="s">
        <v>45</v>
      </c>
      <c r="AD110" s="232" t="s">
        <v>67</v>
      </c>
      <c r="AE110" s="250"/>
      <c r="AF110" s="38"/>
      <c r="AG110" s="38"/>
      <c r="AH110" s="251" t="s">
        <v>71</v>
      </c>
      <c r="AI110" s="226" t="s">
        <v>44</v>
      </c>
      <c r="AJ110" s="231" t="s">
        <v>67</v>
      </c>
      <c r="AK110" s="228" t="s">
        <v>45</v>
      </c>
      <c r="AL110" s="230" t="s">
        <v>67</v>
      </c>
      <c r="AM110" s="229" t="s">
        <v>44</v>
      </c>
      <c r="AN110" s="231" t="s">
        <v>67</v>
      </c>
      <c r="AO110" s="228" t="s">
        <v>45</v>
      </c>
      <c r="AP110" s="227" t="s">
        <v>67</v>
      </c>
      <c r="AQ110" s="226" t="s">
        <v>44</v>
      </c>
      <c r="AR110" s="231" t="s">
        <v>67</v>
      </c>
      <c r="AS110" s="228" t="s">
        <v>45</v>
      </c>
      <c r="AT110" s="232" t="s">
        <v>67</v>
      </c>
      <c r="AU110" s="308"/>
    </row>
    <row r="111" spans="1:47" ht="13.2" x14ac:dyDescent="0.25">
      <c r="A111" s="26"/>
      <c r="B111" s="38"/>
      <c r="C111" s="570" t="s">
        <v>14</v>
      </c>
      <c r="D111" s="23">
        <v>21</v>
      </c>
      <c r="E111" s="594">
        <v>50000</v>
      </c>
      <c r="F111" s="23">
        <f>E111*0.4721/100+386</f>
        <v>622.04999999999995</v>
      </c>
      <c r="G111" s="23">
        <f>E111*0.4829/100+395</f>
        <v>636.45000000000005</v>
      </c>
      <c r="H111" s="23">
        <f>G111*1.025</f>
        <v>652.36125000000004</v>
      </c>
      <c r="I111" s="23">
        <f>H111*1.025</f>
        <v>668.67028125000002</v>
      </c>
      <c r="J111" s="23">
        <f>I111*1.025</f>
        <v>685.38703828124994</v>
      </c>
      <c r="K111" s="23">
        <f>J111*1.025</f>
        <v>702.52171423828111</v>
      </c>
      <c r="L111" s="23"/>
      <c r="M111" s="571"/>
      <c r="N111" s="38"/>
      <c r="O111" s="38"/>
      <c r="P111" s="236">
        <v>50000</v>
      </c>
      <c r="Q111" s="658">
        <f>IF(G111="","",IF(F111=0,"",G111-F111))</f>
        <v>14.400000000000091</v>
      </c>
      <c r="R111" s="659">
        <f t="shared" ref="R111:R124" si="120">IF(Q111="","",Q111/F111)</f>
        <v>2.314926452857502E-2</v>
      </c>
      <c r="S111" s="658">
        <f>IF(H111="","",IF(G111=0,"",H111-G111))</f>
        <v>15.911249999999995</v>
      </c>
      <c r="T111" s="660">
        <f t="shared" ref="T111:T124" si="121">IF(S111="","",S111/G111)</f>
        <v>2.4999999999999991E-2</v>
      </c>
      <c r="U111" s="661">
        <f>IF(S111="","",S111+Q111)</f>
        <v>30.311250000000086</v>
      </c>
      <c r="V111" s="662">
        <f t="shared" ref="V111:V124" si="122">IF(T111="","",U111/F111)</f>
        <v>4.8727996141789388E-2</v>
      </c>
      <c r="W111" s="661">
        <f>IF(I111="","",IF(H111=0,"",I111-H111))</f>
        <v>16.309031249999975</v>
      </c>
      <c r="X111" s="659">
        <f t="shared" ref="X111:X124" si="123">IF(W111="","",W111/H111)</f>
        <v>2.499999999999996E-2</v>
      </c>
      <c r="Y111" s="663">
        <f>IF(W111="","",W111+U111)</f>
        <v>46.620281250000062</v>
      </c>
      <c r="Z111" s="659">
        <f t="shared" ref="Z111:Z124" si="124">IF(X111="","",Y111/F111)</f>
        <v>7.4946196045334076E-2</v>
      </c>
      <c r="AA111" s="658">
        <f>IF(J111="","",IF(I111=0,"",J111-I111))</f>
        <v>16.716757031249927</v>
      </c>
      <c r="AB111" s="660">
        <f t="shared" ref="AB111:AB124" si="125">IF(AA111="","",AA111/I111)</f>
        <v>2.499999999999989E-2</v>
      </c>
      <c r="AC111" s="663">
        <f>IF(AA111="","",AA111+Y111)</f>
        <v>63.337038281249988</v>
      </c>
      <c r="AD111" s="664">
        <f t="shared" ref="AD111:AD124" si="126">IF(AB111="","",AC111/F111)</f>
        <v>0.10181985094646731</v>
      </c>
      <c r="AE111" s="252">
        <v>50000</v>
      </c>
      <c r="AF111" s="38"/>
      <c r="AG111" s="38"/>
      <c r="AH111" s="252">
        <v>50000</v>
      </c>
      <c r="AI111" s="658">
        <f>IF(K111="","",IF(J111=0,"",K111-J111))</f>
        <v>17.134675957031163</v>
      </c>
      <c r="AJ111" s="659">
        <f t="shared" ref="AJ111:AJ124" si="127">IF(AI111="","",AI111/J111)</f>
        <v>2.4999999999999876E-2</v>
      </c>
      <c r="AK111" s="663">
        <f t="shared" ref="AK111:AK124" si="128">IF(AI111="","",AI111+AC111)</f>
        <v>80.471714238281152</v>
      </c>
      <c r="AL111" s="659">
        <f t="shared" ref="AL111:AL124" si="129">IF(AK111="","",AK111/F111)</f>
        <v>0.12936534722012885</v>
      </c>
      <c r="AM111" s="658" t="str">
        <f>IF(L111="","",IF(K111=0,"",L111-K111))</f>
        <v/>
      </c>
      <c r="AN111" s="660" t="str">
        <f t="shared" ref="AN111:AN124" si="130">IF(AM111="","",AM111/K111)</f>
        <v/>
      </c>
      <c r="AO111" s="661" t="str">
        <f t="shared" ref="AO111:AO124" si="131">IF(AM111="","",AM111+AK111)</f>
        <v/>
      </c>
      <c r="AP111" s="662" t="str">
        <f t="shared" ref="AP111:AP124" si="132">IF(AO111="","",AO111/F111)</f>
        <v/>
      </c>
      <c r="AQ111" s="661" t="str">
        <f>IF(M111="","",IF(L111=0,"",M111-L111))</f>
        <v/>
      </c>
      <c r="AR111" s="660" t="str">
        <f t="shared" ref="AR111:AR124" si="133">IF(AQ111="","",AQ111/L111)</f>
        <v/>
      </c>
      <c r="AS111" s="661" t="str">
        <f t="shared" ref="AS111:AS124" si="134">IF(AQ111="","",AQ111+AO111)</f>
        <v/>
      </c>
      <c r="AT111" s="664" t="str">
        <f t="shared" ref="AT111:AT124" si="135">IF(AS111="","",AS111/F111)</f>
        <v/>
      </c>
      <c r="AU111" s="304"/>
    </row>
    <row r="112" spans="1:47" ht="13.2" x14ac:dyDescent="0.25">
      <c r="A112" s="26"/>
      <c r="B112" s="38"/>
      <c r="C112" s="570" t="s">
        <v>280</v>
      </c>
      <c r="D112" s="174">
        <v>108</v>
      </c>
      <c r="E112" s="594">
        <v>150000</v>
      </c>
      <c r="F112" s="23">
        <f t="shared" ref="F112:F124" si="136">E112*0.4721/100+386</f>
        <v>1094.1500000000001</v>
      </c>
      <c r="G112" s="23">
        <f t="shared" ref="G112:G124" si="137">E112*0.4829/100+395</f>
        <v>1119.3499999999999</v>
      </c>
      <c r="H112" s="23">
        <f t="shared" ref="H112:K124" si="138">G112*1.025</f>
        <v>1147.3337499999998</v>
      </c>
      <c r="I112" s="23">
        <f t="shared" si="138"/>
        <v>1176.0170937499997</v>
      </c>
      <c r="J112" s="23">
        <f t="shared" si="138"/>
        <v>1205.4175210937497</v>
      </c>
      <c r="K112" s="23">
        <f t="shared" si="138"/>
        <v>1235.5529591210932</v>
      </c>
      <c r="L112" s="23"/>
      <c r="M112" s="571"/>
      <c r="N112" s="38"/>
      <c r="O112" s="38"/>
      <c r="P112" s="236">
        <v>150000</v>
      </c>
      <c r="Q112" s="658">
        <f t="shared" ref="Q112:Q124" si="139">IF(G112="","",IF(F112=0,"",G112-F112))</f>
        <v>25.199999999999818</v>
      </c>
      <c r="R112" s="659">
        <f t="shared" si="120"/>
        <v>2.3031577023259895E-2</v>
      </c>
      <c r="S112" s="658">
        <f t="shared" ref="S112:S124" si="140">IF(H112="","",IF(G112=0,"",H112-G112))</f>
        <v>27.983749999999873</v>
      </c>
      <c r="T112" s="660">
        <f t="shared" si="121"/>
        <v>2.4999999999999887E-2</v>
      </c>
      <c r="U112" s="661">
        <f t="shared" ref="U112:U124" si="141">IF(S112="","",S112+Q112)</f>
        <v>53.183749999999691</v>
      </c>
      <c r="V112" s="662">
        <f t="shared" si="122"/>
        <v>4.8607366448841283E-2</v>
      </c>
      <c r="W112" s="661">
        <f t="shared" ref="W112:W124" si="142">IF(I112="","",IF(H112=0,"",I112-H112))</f>
        <v>28.683343749999949</v>
      </c>
      <c r="X112" s="659">
        <f t="shared" si="123"/>
        <v>2.499999999999996E-2</v>
      </c>
      <c r="Y112" s="663">
        <f t="shared" ref="Y112:Y124" si="143">IF(W112="","",W112+U112)</f>
        <v>81.86709374999964</v>
      </c>
      <c r="Z112" s="659">
        <f t="shared" si="124"/>
        <v>7.4822550610062266E-2</v>
      </c>
      <c r="AA112" s="658">
        <f t="shared" ref="AA112:AA124" si="144">IF(J112="","",IF(I112=0,"",J112-I112))</f>
        <v>29.400427343749925</v>
      </c>
      <c r="AB112" s="660">
        <f t="shared" si="125"/>
        <v>2.4999999999999942E-2</v>
      </c>
      <c r="AC112" s="663">
        <f t="shared" ref="AC112:AC124" si="145">IF(AA112="","",AA112+Y112)</f>
        <v>111.26752109374956</v>
      </c>
      <c r="AD112" s="664">
        <f t="shared" si="126"/>
        <v>0.10169311437531377</v>
      </c>
      <c r="AE112" s="252">
        <v>150000</v>
      </c>
      <c r="AF112" s="38"/>
      <c r="AG112" s="38"/>
      <c r="AH112" s="252">
        <v>150000</v>
      </c>
      <c r="AI112" s="658">
        <f t="shared" ref="AI112:AI124" si="146">IF(K112="","",IF(J112=0,"",K112-J112))</f>
        <v>30.135438027343525</v>
      </c>
      <c r="AJ112" s="659">
        <f t="shared" si="127"/>
        <v>2.4999999999999821E-2</v>
      </c>
      <c r="AK112" s="663">
        <f t="shared" si="128"/>
        <v>141.40295912109309</v>
      </c>
      <c r="AL112" s="659">
        <f t="shared" si="129"/>
        <v>0.12923544223469641</v>
      </c>
      <c r="AM112" s="658" t="str">
        <f t="shared" ref="AM112:AM124" si="147">IF(L112="","",IF(K112=0,"",L112-K112))</f>
        <v/>
      </c>
      <c r="AN112" s="660" t="str">
        <f t="shared" si="130"/>
        <v/>
      </c>
      <c r="AO112" s="661" t="str">
        <f t="shared" si="131"/>
        <v/>
      </c>
      <c r="AP112" s="662" t="str">
        <f t="shared" si="132"/>
        <v/>
      </c>
      <c r="AQ112" s="661" t="str">
        <f t="shared" ref="AQ112:AQ124" si="148">IF(M112="","",IF(L112=0,"",M112-L112))</f>
        <v/>
      </c>
      <c r="AR112" s="660" t="str">
        <f t="shared" si="133"/>
        <v/>
      </c>
      <c r="AS112" s="661" t="str">
        <f t="shared" si="134"/>
        <v/>
      </c>
      <c r="AT112" s="664" t="str">
        <f t="shared" si="135"/>
        <v/>
      </c>
      <c r="AU112" s="304"/>
    </row>
    <row r="113" spans="1:47" ht="13.2" x14ac:dyDescent="0.25">
      <c r="A113" s="26"/>
      <c r="B113" s="38"/>
      <c r="C113" s="570" t="s">
        <v>281</v>
      </c>
      <c r="D113" s="174">
        <v>494</v>
      </c>
      <c r="E113" s="594">
        <v>250000</v>
      </c>
      <c r="F113" s="23">
        <f t="shared" si="136"/>
        <v>1566.25</v>
      </c>
      <c r="G113" s="23">
        <f t="shared" si="137"/>
        <v>1602.25</v>
      </c>
      <c r="H113" s="23">
        <f t="shared" si="138"/>
        <v>1642.3062499999999</v>
      </c>
      <c r="I113" s="23">
        <f t="shared" si="138"/>
        <v>1683.3639062499997</v>
      </c>
      <c r="J113" s="23">
        <f t="shared" si="138"/>
        <v>1725.4480039062496</v>
      </c>
      <c r="K113" s="23">
        <f t="shared" si="138"/>
        <v>1768.5842040039056</v>
      </c>
      <c r="L113" s="23"/>
      <c r="M113" s="571"/>
      <c r="N113" s="38"/>
      <c r="O113" s="38"/>
      <c r="P113" s="236">
        <v>250000</v>
      </c>
      <c r="Q113" s="658">
        <f t="shared" si="139"/>
        <v>36</v>
      </c>
      <c r="R113" s="659">
        <f t="shared" si="120"/>
        <v>2.2984836392657623E-2</v>
      </c>
      <c r="S113" s="658">
        <f t="shared" si="140"/>
        <v>40.056249999999864</v>
      </c>
      <c r="T113" s="660">
        <f t="shared" si="121"/>
        <v>2.4999999999999915E-2</v>
      </c>
      <c r="U113" s="661">
        <f t="shared" si="141"/>
        <v>76.056249999999864</v>
      </c>
      <c r="V113" s="662">
        <f t="shared" si="122"/>
        <v>4.8559457302473977E-2</v>
      </c>
      <c r="W113" s="661">
        <f t="shared" si="142"/>
        <v>41.057656249999809</v>
      </c>
      <c r="X113" s="659">
        <f t="shared" si="123"/>
        <v>2.4999999999999887E-2</v>
      </c>
      <c r="Y113" s="663">
        <f t="shared" si="143"/>
        <v>117.11390624999967</v>
      </c>
      <c r="Z113" s="659">
        <f t="shared" si="124"/>
        <v>7.4773443735035708E-2</v>
      </c>
      <c r="AA113" s="658">
        <f t="shared" si="144"/>
        <v>42.084097656249924</v>
      </c>
      <c r="AB113" s="660">
        <f t="shared" si="125"/>
        <v>2.499999999999996E-2</v>
      </c>
      <c r="AC113" s="663">
        <f t="shared" si="145"/>
        <v>159.1980039062496</v>
      </c>
      <c r="AD113" s="664">
        <f t="shared" si="126"/>
        <v>0.10164277982841155</v>
      </c>
      <c r="AE113" s="252">
        <v>250000</v>
      </c>
      <c r="AF113" s="38"/>
      <c r="AG113" s="38"/>
      <c r="AH113" s="252">
        <v>250000</v>
      </c>
      <c r="AI113" s="658">
        <f t="shared" si="146"/>
        <v>43.136200097656001</v>
      </c>
      <c r="AJ113" s="659">
        <f t="shared" si="127"/>
        <v>2.4999999999999863E-2</v>
      </c>
      <c r="AK113" s="663">
        <f t="shared" si="128"/>
        <v>202.3342040039056</v>
      </c>
      <c r="AL113" s="659">
        <f t="shared" si="129"/>
        <v>0.12918384932412169</v>
      </c>
      <c r="AM113" s="658" t="str">
        <f t="shared" si="147"/>
        <v/>
      </c>
      <c r="AN113" s="660" t="str">
        <f t="shared" si="130"/>
        <v/>
      </c>
      <c r="AO113" s="661" t="str">
        <f t="shared" si="131"/>
        <v/>
      </c>
      <c r="AP113" s="662" t="str">
        <f t="shared" si="132"/>
        <v/>
      </c>
      <c r="AQ113" s="661" t="str">
        <f t="shared" si="148"/>
        <v/>
      </c>
      <c r="AR113" s="660" t="str">
        <f t="shared" si="133"/>
        <v/>
      </c>
      <c r="AS113" s="661" t="str">
        <f t="shared" si="134"/>
        <v/>
      </c>
      <c r="AT113" s="664" t="str">
        <f t="shared" si="135"/>
        <v/>
      </c>
      <c r="AU113" s="304"/>
    </row>
    <row r="114" spans="1:47" ht="13.2" x14ac:dyDescent="0.25">
      <c r="A114" s="26"/>
      <c r="B114" s="38"/>
      <c r="C114" s="570" t="s">
        <v>282</v>
      </c>
      <c r="D114" s="174">
        <v>511</v>
      </c>
      <c r="E114" s="594">
        <v>350000</v>
      </c>
      <c r="F114" s="23">
        <f t="shared" si="136"/>
        <v>2038.35</v>
      </c>
      <c r="G114" s="23">
        <f t="shared" si="137"/>
        <v>2085.15</v>
      </c>
      <c r="H114" s="23">
        <f t="shared" si="138"/>
        <v>2137.2787499999999</v>
      </c>
      <c r="I114" s="23">
        <f t="shared" si="138"/>
        <v>2190.7107187499996</v>
      </c>
      <c r="J114" s="23">
        <f t="shared" si="138"/>
        <v>2245.4784867187495</v>
      </c>
      <c r="K114" s="23">
        <f t="shared" si="138"/>
        <v>2301.6154488867182</v>
      </c>
      <c r="L114" s="23"/>
      <c r="M114" s="571"/>
      <c r="N114" s="38"/>
      <c r="O114" s="38"/>
      <c r="P114" s="236">
        <v>350000</v>
      </c>
      <c r="Q114" s="658">
        <f t="shared" si="139"/>
        <v>46.800000000000182</v>
      </c>
      <c r="R114" s="659">
        <f t="shared" si="120"/>
        <v>2.2959746854073239E-2</v>
      </c>
      <c r="S114" s="658">
        <f t="shared" si="140"/>
        <v>52.128749999999854</v>
      </c>
      <c r="T114" s="660">
        <f t="shared" si="121"/>
        <v>2.4999999999999929E-2</v>
      </c>
      <c r="U114" s="661">
        <f t="shared" si="141"/>
        <v>98.928750000000036</v>
      </c>
      <c r="V114" s="662">
        <f t="shared" si="122"/>
        <v>4.8533740525424994E-2</v>
      </c>
      <c r="W114" s="661">
        <f t="shared" si="142"/>
        <v>53.431968749999669</v>
      </c>
      <c r="X114" s="659">
        <f t="shared" si="123"/>
        <v>2.4999999999999845E-2</v>
      </c>
      <c r="Y114" s="663">
        <f t="shared" si="143"/>
        <v>152.36071874999971</v>
      </c>
      <c r="Z114" s="659">
        <f t="shared" si="124"/>
        <v>7.4747084038560466E-2</v>
      </c>
      <c r="AA114" s="658">
        <f t="shared" si="144"/>
        <v>54.767767968749922</v>
      </c>
      <c r="AB114" s="660">
        <f t="shared" si="125"/>
        <v>2.499999999999997E-2</v>
      </c>
      <c r="AC114" s="663">
        <f t="shared" si="145"/>
        <v>207.12848671874963</v>
      </c>
      <c r="AD114" s="664">
        <f t="shared" si="126"/>
        <v>0.10161576113952443</v>
      </c>
      <c r="AE114" s="252">
        <v>350000</v>
      </c>
      <c r="AF114" s="38"/>
      <c r="AG114" s="38"/>
      <c r="AH114" s="252">
        <v>350000</v>
      </c>
      <c r="AI114" s="658">
        <f t="shared" si="146"/>
        <v>56.136962167968704</v>
      </c>
      <c r="AJ114" s="659">
        <f t="shared" si="127"/>
        <v>2.4999999999999984E-2</v>
      </c>
      <c r="AK114" s="663">
        <f t="shared" si="128"/>
        <v>263.26544888671833</v>
      </c>
      <c r="AL114" s="659">
        <f t="shared" si="129"/>
        <v>0.12915615516801254</v>
      </c>
      <c r="AM114" s="658" t="str">
        <f t="shared" si="147"/>
        <v/>
      </c>
      <c r="AN114" s="660" t="str">
        <f t="shared" si="130"/>
        <v/>
      </c>
      <c r="AO114" s="661" t="str">
        <f t="shared" si="131"/>
        <v/>
      </c>
      <c r="AP114" s="662" t="str">
        <f t="shared" si="132"/>
        <v/>
      </c>
      <c r="AQ114" s="661" t="str">
        <f t="shared" si="148"/>
        <v/>
      </c>
      <c r="AR114" s="660" t="str">
        <f t="shared" si="133"/>
        <v/>
      </c>
      <c r="AS114" s="661" t="str">
        <f t="shared" si="134"/>
        <v/>
      </c>
      <c r="AT114" s="664" t="str">
        <f t="shared" si="135"/>
        <v/>
      </c>
      <c r="AU114" s="304"/>
    </row>
    <row r="115" spans="1:47" ht="13.2" x14ac:dyDescent="0.25">
      <c r="A115" s="26"/>
      <c r="B115" s="38"/>
      <c r="C115" s="570" t="s">
        <v>283</v>
      </c>
      <c r="D115" s="174">
        <v>317</v>
      </c>
      <c r="E115" s="594">
        <v>450000</v>
      </c>
      <c r="F115" s="23">
        <f t="shared" si="136"/>
        <v>2510.4499999999998</v>
      </c>
      <c r="G115" s="23">
        <f t="shared" si="137"/>
        <v>2568.0500000000002</v>
      </c>
      <c r="H115" s="23">
        <f t="shared" si="138"/>
        <v>2632.2512499999998</v>
      </c>
      <c r="I115" s="23">
        <f t="shared" si="138"/>
        <v>2698.0575312499996</v>
      </c>
      <c r="J115" s="23">
        <f t="shared" si="138"/>
        <v>2765.5089695312495</v>
      </c>
      <c r="K115" s="23">
        <f t="shared" si="138"/>
        <v>2834.6466937695304</v>
      </c>
      <c r="L115" s="23"/>
      <c r="M115" s="571"/>
      <c r="N115" s="38"/>
      <c r="O115" s="38"/>
      <c r="P115" s="236">
        <v>450000</v>
      </c>
      <c r="Q115" s="658">
        <f t="shared" si="139"/>
        <v>57.600000000000364</v>
      </c>
      <c r="R115" s="659">
        <f t="shared" si="120"/>
        <v>2.2944093688382707E-2</v>
      </c>
      <c r="S115" s="658">
        <f t="shared" si="140"/>
        <v>64.201249999999618</v>
      </c>
      <c r="T115" s="660">
        <f t="shared" si="121"/>
        <v>2.4999999999999849E-2</v>
      </c>
      <c r="U115" s="661">
        <f t="shared" si="141"/>
        <v>121.80124999999998</v>
      </c>
      <c r="V115" s="662">
        <f t="shared" si="122"/>
        <v>4.8517696030592118E-2</v>
      </c>
      <c r="W115" s="661">
        <f t="shared" si="142"/>
        <v>65.806281249999756</v>
      </c>
      <c r="X115" s="659">
        <f t="shared" si="123"/>
        <v>2.4999999999999908E-2</v>
      </c>
      <c r="Y115" s="663">
        <f t="shared" si="143"/>
        <v>187.60753124999974</v>
      </c>
      <c r="Z115" s="659">
        <f t="shared" si="124"/>
        <v>7.4730638431356827E-2</v>
      </c>
      <c r="AA115" s="658">
        <f t="shared" si="144"/>
        <v>67.451438281249921</v>
      </c>
      <c r="AB115" s="660">
        <f t="shared" si="125"/>
        <v>2.4999999999999974E-2</v>
      </c>
      <c r="AC115" s="663">
        <f t="shared" si="145"/>
        <v>255.05896953124966</v>
      </c>
      <c r="AD115" s="664">
        <f t="shared" si="126"/>
        <v>0.10159890439214073</v>
      </c>
      <c r="AE115" s="252">
        <v>450000</v>
      </c>
      <c r="AF115" s="38"/>
      <c r="AG115" s="38"/>
      <c r="AH115" s="252">
        <v>450000</v>
      </c>
      <c r="AI115" s="658">
        <f t="shared" si="146"/>
        <v>69.137724238280953</v>
      </c>
      <c r="AJ115" s="659">
        <f t="shared" si="127"/>
        <v>2.4999999999999897E-2</v>
      </c>
      <c r="AK115" s="663">
        <f t="shared" si="128"/>
        <v>324.19669376953061</v>
      </c>
      <c r="AL115" s="659">
        <f t="shared" si="129"/>
        <v>0.12913887700194412</v>
      </c>
      <c r="AM115" s="658" t="str">
        <f t="shared" si="147"/>
        <v/>
      </c>
      <c r="AN115" s="660" t="str">
        <f t="shared" si="130"/>
        <v/>
      </c>
      <c r="AO115" s="661" t="str">
        <f t="shared" si="131"/>
        <v/>
      </c>
      <c r="AP115" s="662" t="str">
        <f t="shared" si="132"/>
        <v/>
      </c>
      <c r="AQ115" s="661" t="str">
        <f t="shared" si="148"/>
        <v/>
      </c>
      <c r="AR115" s="660" t="str">
        <f t="shared" si="133"/>
        <v/>
      </c>
      <c r="AS115" s="661" t="str">
        <f t="shared" si="134"/>
        <v/>
      </c>
      <c r="AT115" s="664" t="str">
        <f t="shared" si="135"/>
        <v/>
      </c>
      <c r="AU115" s="304"/>
    </row>
    <row r="116" spans="1:47" ht="13.2" x14ac:dyDescent="0.25">
      <c r="A116" s="26"/>
      <c r="B116" s="38"/>
      <c r="C116" s="570" t="s">
        <v>284</v>
      </c>
      <c r="D116" s="174">
        <v>169</v>
      </c>
      <c r="E116" s="594">
        <v>550000</v>
      </c>
      <c r="F116" s="23">
        <f t="shared" si="136"/>
        <v>2982.55</v>
      </c>
      <c r="G116" s="23">
        <f t="shared" si="137"/>
        <v>3050.95</v>
      </c>
      <c r="H116" s="23">
        <f t="shared" si="138"/>
        <v>3127.2237499999997</v>
      </c>
      <c r="I116" s="23">
        <f t="shared" si="138"/>
        <v>3205.4043437499995</v>
      </c>
      <c r="J116" s="23">
        <f t="shared" si="138"/>
        <v>3285.5394523437494</v>
      </c>
      <c r="K116" s="23">
        <f t="shared" si="138"/>
        <v>3367.6779386523431</v>
      </c>
      <c r="L116" s="23"/>
      <c r="M116" s="571"/>
      <c r="N116" s="38"/>
      <c r="O116" s="38"/>
      <c r="P116" s="236">
        <v>550000</v>
      </c>
      <c r="Q116" s="658">
        <f t="shared" si="139"/>
        <v>68.399999999999636</v>
      </c>
      <c r="R116" s="659">
        <f t="shared" si="120"/>
        <v>2.2933395919598878E-2</v>
      </c>
      <c r="S116" s="658">
        <f t="shared" si="140"/>
        <v>76.273749999999836</v>
      </c>
      <c r="T116" s="660">
        <f t="shared" si="121"/>
        <v>2.4999999999999949E-2</v>
      </c>
      <c r="U116" s="661">
        <f t="shared" si="141"/>
        <v>144.67374999999947</v>
      </c>
      <c r="V116" s="662">
        <f t="shared" si="122"/>
        <v>4.8506730817588793E-2</v>
      </c>
      <c r="W116" s="661">
        <f t="shared" si="142"/>
        <v>78.180593749999844</v>
      </c>
      <c r="X116" s="659">
        <f t="shared" si="123"/>
        <v>2.4999999999999953E-2</v>
      </c>
      <c r="Y116" s="663">
        <f t="shared" si="143"/>
        <v>222.85434374999932</v>
      </c>
      <c r="Z116" s="659">
        <f t="shared" si="124"/>
        <v>7.4719399088028465E-2</v>
      </c>
      <c r="AA116" s="658">
        <f t="shared" si="144"/>
        <v>80.135108593749919</v>
      </c>
      <c r="AB116" s="660">
        <f t="shared" si="125"/>
        <v>2.4999999999999977E-2</v>
      </c>
      <c r="AC116" s="663">
        <f t="shared" si="145"/>
        <v>302.98945234374924</v>
      </c>
      <c r="AD116" s="664">
        <f t="shared" si="126"/>
        <v>0.10158738406522916</v>
      </c>
      <c r="AE116" s="252">
        <v>550000</v>
      </c>
      <c r="AF116" s="38"/>
      <c r="AG116" s="38"/>
      <c r="AH116" s="252">
        <v>550000</v>
      </c>
      <c r="AI116" s="658">
        <f t="shared" si="146"/>
        <v>82.138486308593656</v>
      </c>
      <c r="AJ116" s="659">
        <f t="shared" si="127"/>
        <v>2.4999999999999977E-2</v>
      </c>
      <c r="AK116" s="663">
        <f t="shared" si="128"/>
        <v>385.12793865234289</v>
      </c>
      <c r="AL116" s="659">
        <f t="shared" si="129"/>
        <v>0.12912706866685986</v>
      </c>
      <c r="AM116" s="658" t="str">
        <f t="shared" si="147"/>
        <v/>
      </c>
      <c r="AN116" s="660" t="str">
        <f t="shared" si="130"/>
        <v/>
      </c>
      <c r="AO116" s="661" t="str">
        <f t="shared" si="131"/>
        <v/>
      </c>
      <c r="AP116" s="662" t="str">
        <f t="shared" si="132"/>
        <v/>
      </c>
      <c r="AQ116" s="661" t="str">
        <f t="shared" si="148"/>
        <v/>
      </c>
      <c r="AR116" s="660" t="str">
        <f t="shared" si="133"/>
        <v/>
      </c>
      <c r="AS116" s="661" t="str">
        <f t="shared" si="134"/>
        <v/>
      </c>
      <c r="AT116" s="664" t="str">
        <f t="shared" si="135"/>
        <v/>
      </c>
      <c r="AU116" s="304"/>
    </row>
    <row r="117" spans="1:47" ht="13.2" x14ac:dyDescent="0.25">
      <c r="A117" s="26"/>
      <c r="B117" s="38"/>
      <c r="C117" s="570" t="s">
        <v>285</v>
      </c>
      <c r="D117" s="174">
        <v>105</v>
      </c>
      <c r="E117" s="594">
        <v>650000</v>
      </c>
      <c r="F117" s="23">
        <f t="shared" si="136"/>
        <v>3454.65</v>
      </c>
      <c r="G117" s="23">
        <f t="shared" si="137"/>
        <v>3533.85</v>
      </c>
      <c r="H117" s="23">
        <f t="shared" si="138"/>
        <v>3622.1962499999995</v>
      </c>
      <c r="I117" s="23">
        <f t="shared" si="138"/>
        <v>3712.751156249999</v>
      </c>
      <c r="J117" s="23">
        <f t="shared" si="138"/>
        <v>3805.5699351562484</v>
      </c>
      <c r="K117" s="23">
        <f t="shared" si="138"/>
        <v>3900.7091835351544</v>
      </c>
      <c r="L117" s="23"/>
      <c r="M117" s="571"/>
      <c r="N117" s="38"/>
      <c r="O117" s="38"/>
      <c r="P117" s="236">
        <v>650000</v>
      </c>
      <c r="Q117" s="658">
        <f t="shared" si="139"/>
        <v>79.199999999999818</v>
      </c>
      <c r="R117" s="659">
        <f t="shared" si="120"/>
        <v>2.2925621987755579E-2</v>
      </c>
      <c r="S117" s="658">
        <f t="shared" si="140"/>
        <v>88.3462499999996</v>
      </c>
      <c r="T117" s="660">
        <f t="shared" si="121"/>
        <v>2.4999999999999887E-2</v>
      </c>
      <c r="U117" s="661">
        <f t="shared" si="141"/>
        <v>167.54624999999942</v>
      </c>
      <c r="V117" s="662">
        <f t="shared" si="122"/>
        <v>4.8498762537449357E-2</v>
      </c>
      <c r="W117" s="661">
        <f t="shared" si="142"/>
        <v>90.554906249999476</v>
      </c>
      <c r="X117" s="659">
        <f t="shared" si="123"/>
        <v>2.4999999999999859E-2</v>
      </c>
      <c r="Y117" s="663">
        <f t="shared" si="143"/>
        <v>258.10115624999889</v>
      </c>
      <c r="Z117" s="659">
        <f t="shared" si="124"/>
        <v>7.4711231600885442E-2</v>
      </c>
      <c r="AA117" s="658">
        <f t="shared" si="144"/>
        <v>92.818778906249463</v>
      </c>
      <c r="AB117" s="660">
        <f t="shared" si="125"/>
        <v>2.4999999999999863E-2</v>
      </c>
      <c r="AC117" s="663">
        <f t="shared" si="145"/>
        <v>350.91993515624836</v>
      </c>
      <c r="AD117" s="664">
        <f t="shared" si="126"/>
        <v>0.10157901239090743</v>
      </c>
      <c r="AE117" s="252">
        <v>650000</v>
      </c>
      <c r="AF117" s="38"/>
      <c r="AG117" s="38"/>
      <c r="AH117" s="252">
        <v>650000</v>
      </c>
      <c r="AI117" s="658">
        <f t="shared" si="146"/>
        <v>95.139248378905904</v>
      </c>
      <c r="AJ117" s="659">
        <f t="shared" si="127"/>
        <v>2.4999999999999918E-2</v>
      </c>
      <c r="AK117" s="663">
        <f t="shared" si="128"/>
        <v>446.05918353515426</v>
      </c>
      <c r="AL117" s="659">
        <f t="shared" si="129"/>
        <v>0.12911848770068002</v>
      </c>
      <c r="AM117" s="658" t="str">
        <f t="shared" si="147"/>
        <v/>
      </c>
      <c r="AN117" s="660" t="str">
        <f t="shared" si="130"/>
        <v/>
      </c>
      <c r="AO117" s="661" t="str">
        <f t="shared" si="131"/>
        <v/>
      </c>
      <c r="AP117" s="662" t="str">
        <f t="shared" si="132"/>
        <v/>
      </c>
      <c r="AQ117" s="661" t="str">
        <f t="shared" si="148"/>
        <v/>
      </c>
      <c r="AR117" s="660" t="str">
        <f t="shared" si="133"/>
        <v/>
      </c>
      <c r="AS117" s="661" t="str">
        <f t="shared" si="134"/>
        <v/>
      </c>
      <c r="AT117" s="664" t="str">
        <f t="shared" si="135"/>
        <v/>
      </c>
      <c r="AU117" s="304"/>
    </row>
    <row r="118" spans="1:47" ht="13.2" x14ac:dyDescent="0.25">
      <c r="A118" s="26"/>
      <c r="B118" s="38"/>
      <c r="C118" s="570" t="s">
        <v>286</v>
      </c>
      <c r="D118" s="174">
        <v>69</v>
      </c>
      <c r="E118" s="594">
        <v>750000</v>
      </c>
      <c r="F118" s="23">
        <f t="shared" si="136"/>
        <v>3926.75</v>
      </c>
      <c r="G118" s="23">
        <f t="shared" si="137"/>
        <v>4016.75</v>
      </c>
      <c r="H118" s="23">
        <f t="shared" si="138"/>
        <v>4117.1687499999998</v>
      </c>
      <c r="I118" s="23">
        <f t="shared" si="138"/>
        <v>4220.0979687499994</v>
      </c>
      <c r="J118" s="23">
        <f t="shared" si="138"/>
        <v>4325.6004179687488</v>
      </c>
      <c r="K118" s="23">
        <f t="shared" si="138"/>
        <v>4433.7404284179675</v>
      </c>
      <c r="L118" s="23"/>
      <c r="M118" s="571"/>
      <c r="N118" s="38"/>
      <c r="O118" s="38"/>
      <c r="P118" s="236">
        <v>750000</v>
      </c>
      <c r="Q118" s="658">
        <f t="shared" si="139"/>
        <v>90</v>
      </c>
      <c r="R118" s="659">
        <f t="shared" si="120"/>
        <v>2.2919717323486345E-2</v>
      </c>
      <c r="S118" s="658">
        <f t="shared" si="140"/>
        <v>100.41874999999982</v>
      </c>
      <c r="T118" s="660">
        <f t="shared" si="121"/>
        <v>2.4999999999999956E-2</v>
      </c>
      <c r="U118" s="661">
        <f t="shared" si="141"/>
        <v>190.41874999999982</v>
      </c>
      <c r="V118" s="662">
        <f t="shared" si="122"/>
        <v>4.8492710256573458E-2</v>
      </c>
      <c r="W118" s="661">
        <f t="shared" si="142"/>
        <v>102.92921874999956</v>
      </c>
      <c r="X118" s="659">
        <f t="shared" si="123"/>
        <v>2.4999999999999894E-2</v>
      </c>
      <c r="Y118" s="663">
        <f t="shared" si="143"/>
        <v>293.34796874999938</v>
      </c>
      <c r="Z118" s="659">
        <f t="shared" si="124"/>
        <v>7.4705028012987687E-2</v>
      </c>
      <c r="AA118" s="658">
        <f t="shared" si="144"/>
        <v>105.50244921874946</v>
      </c>
      <c r="AB118" s="660">
        <f t="shared" si="125"/>
        <v>2.4999999999999876E-2</v>
      </c>
      <c r="AC118" s="663">
        <f t="shared" si="145"/>
        <v>398.85041796874884</v>
      </c>
      <c r="AD118" s="664">
        <f t="shared" si="126"/>
        <v>0.10157265371331224</v>
      </c>
      <c r="AE118" s="252">
        <v>750000</v>
      </c>
      <c r="AF118" s="38"/>
      <c r="AG118" s="38"/>
      <c r="AH118" s="252">
        <v>750000</v>
      </c>
      <c r="AI118" s="658">
        <f t="shared" si="146"/>
        <v>108.14001044921861</v>
      </c>
      <c r="AJ118" s="659">
        <f t="shared" si="127"/>
        <v>2.4999999999999974E-2</v>
      </c>
      <c r="AK118" s="663">
        <f t="shared" si="128"/>
        <v>506.99042841796745</v>
      </c>
      <c r="AL118" s="659">
        <f t="shared" si="129"/>
        <v>0.12911197005614503</v>
      </c>
      <c r="AM118" s="658" t="str">
        <f t="shared" si="147"/>
        <v/>
      </c>
      <c r="AN118" s="660" t="str">
        <f t="shared" si="130"/>
        <v/>
      </c>
      <c r="AO118" s="661" t="str">
        <f t="shared" si="131"/>
        <v/>
      </c>
      <c r="AP118" s="662" t="str">
        <f t="shared" si="132"/>
        <v/>
      </c>
      <c r="AQ118" s="661" t="str">
        <f t="shared" si="148"/>
        <v/>
      </c>
      <c r="AR118" s="660" t="str">
        <f t="shared" si="133"/>
        <v/>
      </c>
      <c r="AS118" s="661" t="str">
        <f t="shared" si="134"/>
        <v/>
      </c>
      <c r="AT118" s="664" t="str">
        <f t="shared" si="135"/>
        <v/>
      </c>
      <c r="AU118" s="304"/>
    </row>
    <row r="119" spans="1:47" ht="13.2" x14ac:dyDescent="0.25">
      <c r="A119" s="26"/>
      <c r="B119" s="38"/>
      <c r="C119" s="570" t="s">
        <v>287</v>
      </c>
      <c r="D119" s="174">
        <v>34</v>
      </c>
      <c r="E119" s="594">
        <v>850000</v>
      </c>
      <c r="F119" s="23">
        <f t="shared" si="136"/>
        <v>4398.8500000000004</v>
      </c>
      <c r="G119" s="23">
        <f t="shared" si="137"/>
        <v>4499.6499999999996</v>
      </c>
      <c r="H119" s="23">
        <f t="shared" si="138"/>
        <v>4612.1412499999997</v>
      </c>
      <c r="I119" s="23">
        <f t="shared" si="138"/>
        <v>4727.4447812499993</v>
      </c>
      <c r="J119" s="23">
        <f t="shared" si="138"/>
        <v>4845.6309007812488</v>
      </c>
      <c r="K119" s="23">
        <f t="shared" si="138"/>
        <v>4966.7716733007792</v>
      </c>
      <c r="L119" s="23"/>
      <c r="M119" s="571"/>
      <c r="N119" s="38"/>
      <c r="O119" s="38"/>
      <c r="P119" s="236">
        <v>850000</v>
      </c>
      <c r="Q119" s="658">
        <f t="shared" si="139"/>
        <v>100.79999999999927</v>
      </c>
      <c r="R119" s="659">
        <f t="shared" si="120"/>
        <v>2.2915080077747427E-2</v>
      </c>
      <c r="S119" s="658">
        <f t="shared" si="140"/>
        <v>112.49125000000004</v>
      </c>
      <c r="T119" s="660">
        <f t="shared" si="121"/>
        <v>2.5000000000000012E-2</v>
      </c>
      <c r="U119" s="661">
        <f t="shared" si="141"/>
        <v>213.29124999999931</v>
      </c>
      <c r="V119" s="662">
        <f t="shared" si="122"/>
        <v>4.848795707969112E-2</v>
      </c>
      <c r="W119" s="661">
        <f t="shared" si="142"/>
        <v>115.30353124999965</v>
      </c>
      <c r="X119" s="659">
        <f t="shared" si="123"/>
        <v>2.4999999999999925E-2</v>
      </c>
      <c r="Y119" s="663">
        <f t="shared" si="143"/>
        <v>328.59478124999896</v>
      </c>
      <c r="Z119" s="659">
        <f t="shared" si="124"/>
        <v>7.4700156006683324E-2</v>
      </c>
      <c r="AA119" s="658">
        <f t="shared" si="144"/>
        <v>118.18611953124946</v>
      </c>
      <c r="AB119" s="660">
        <f t="shared" si="125"/>
        <v>2.499999999999989E-2</v>
      </c>
      <c r="AC119" s="663">
        <f t="shared" si="145"/>
        <v>446.78090078124842</v>
      </c>
      <c r="AD119" s="664">
        <f t="shared" si="126"/>
        <v>0.10156765990685028</v>
      </c>
      <c r="AE119" s="252">
        <v>850000</v>
      </c>
      <c r="AF119" s="38"/>
      <c r="AG119" s="38"/>
      <c r="AH119" s="252">
        <v>850000</v>
      </c>
      <c r="AI119" s="658">
        <f t="shared" si="146"/>
        <v>121.1407725195304</v>
      </c>
      <c r="AJ119" s="659">
        <f t="shared" si="127"/>
        <v>2.4999999999999831E-2</v>
      </c>
      <c r="AK119" s="663">
        <f t="shared" si="128"/>
        <v>567.92167330077882</v>
      </c>
      <c r="AL119" s="659">
        <f t="shared" si="129"/>
        <v>0.12910685140452136</v>
      </c>
      <c r="AM119" s="658" t="str">
        <f t="shared" si="147"/>
        <v/>
      </c>
      <c r="AN119" s="660" t="str">
        <f t="shared" si="130"/>
        <v/>
      </c>
      <c r="AO119" s="661" t="str">
        <f t="shared" si="131"/>
        <v/>
      </c>
      <c r="AP119" s="662" t="str">
        <f t="shared" si="132"/>
        <v/>
      </c>
      <c r="AQ119" s="661" t="str">
        <f t="shared" si="148"/>
        <v/>
      </c>
      <c r="AR119" s="660" t="str">
        <f t="shared" si="133"/>
        <v/>
      </c>
      <c r="AS119" s="661" t="str">
        <f t="shared" si="134"/>
        <v/>
      </c>
      <c r="AT119" s="664" t="str">
        <f t="shared" si="135"/>
        <v/>
      </c>
      <c r="AU119" s="304"/>
    </row>
    <row r="120" spans="1:47" ht="13.2" x14ac:dyDescent="0.25">
      <c r="A120" s="26"/>
      <c r="B120" s="38"/>
      <c r="C120" s="570" t="s">
        <v>288</v>
      </c>
      <c r="D120" s="174">
        <v>27</v>
      </c>
      <c r="E120" s="594">
        <v>950000</v>
      </c>
      <c r="F120" s="23">
        <f t="shared" si="136"/>
        <v>4870.95</v>
      </c>
      <c r="G120" s="23">
        <f t="shared" si="137"/>
        <v>4982.55</v>
      </c>
      <c r="H120" s="23">
        <f t="shared" si="138"/>
        <v>5107.1137499999995</v>
      </c>
      <c r="I120" s="23">
        <f t="shared" si="138"/>
        <v>5234.7915937499993</v>
      </c>
      <c r="J120" s="23">
        <f t="shared" si="138"/>
        <v>5365.6613835937487</v>
      </c>
      <c r="K120" s="23">
        <f t="shared" si="138"/>
        <v>5499.8029181835918</v>
      </c>
      <c r="L120" s="23"/>
      <c r="M120" s="571"/>
      <c r="N120" s="38"/>
      <c r="O120" s="38"/>
      <c r="P120" s="236">
        <v>950000</v>
      </c>
      <c r="Q120" s="658">
        <f t="shared" si="139"/>
        <v>111.60000000000036</v>
      </c>
      <c r="R120" s="659">
        <f t="shared" si="120"/>
        <v>2.2911341730052735E-2</v>
      </c>
      <c r="S120" s="658">
        <f t="shared" si="140"/>
        <v>124.56374999999935</v>
      </c>
      <c r="T120" s="660">
        <f t="shared" si="121"/>
        <v>2.4999999999999866E-2</v>
      </c>
      <c r="U120" s="661">
        <f t="shared" si="141"/>
        <v>236.16374999999971</v>
      </c>
      <c r="V120" s="662">
        <f t="shared" si="122"/>
        <v>4.8484125273303917E-2</v>
      </c>
      <c r="W120" s="661">
        <f t="shared" si="142"/>
        <v>127.67784374999974</v>
      </c>
      <c r="X120" s="659">
        <f t="shared" si="123"/>
        <v>2.4999999999999949E-2</v>
      </c>
      <c r="Y120" s="663">
        <f t="shared" si="143"/>
        <v>363.84159374999945</v>
      </c>
      <c r="Z120" s="659">
        <f t="shared" si="124"/>
        <v>7.4696228405136469E-2</v>
      </c>
      <c r="AA120" s="658">
        <f t="shared" si="144"/>
        <v>130.86978984374946</v>
      </c>
      <c r="AB120" s="660">
        <f t="shared" si="125"/>
        <v>2.4999999999999901E-2</v>
      </c>
      <c r="AC120" s="663">
        <f t="shared" si="145"/>
        <v>494.71138359374891</v>
      </c>
      <c r="AD120" s="664">
        <f t="shared" si="126"/>
        <v>0.10156363411526477</v>
      </c>
      <c r="AE120" s="252">
        <v>950000</v>
      </c>
      <c r="AF120" s="38"/>
      <c r="AG120" s="38"/>
      <c r="AH120" s="252">
        <v>950000</v>
      </c>
      <c r="AI120" s="658">
        <f t="shared" si="146"/>
        <v>134.1415345898431</v>
      </c>
      <c r="AJ120" s="659">
        <f t="shared" si="127"/>
        <v>2.4999999999999887E-2</v>
      </c>
      <c r="AK120" s="663">
        <f t="shared" si="128"/>
        <v>628.85291818359201</v>
      </c>
      <c r="AL120" s="659">
        <f t="shared" si="129"/>
        <v>0.12910272496814626</v>
      </c>
      <c r="AM120" s="658" t="str">
        <f t="shared" si="147"/>
        <v/>
      </c>
      <c r="AN120" s="660" t="str">
        <f t="shared" si="130"/>
        <v/>
      </c>
      <c r="AO120" s="661" t="str">
        <f t="shared" si="131"/>
        <v/>
      </c>
      <c r="AP120" s="662" t="str">
        <f t="shared" si="132"/>
        <v/>
      </c>
      <c r="AQ120" s="661" t="str">
        <f t="shared" si="148"/>
        <v/>
      </c>
      <c r="AR120" s="660" t="str">
        <f t="shared" si="133"/>
        <v/>
      </c>
      <c r="AS120" s="661" t="str">
        <f t="shared" si="134"/>
        <v/>
      </c>
      <c r="AT120" s="664" t="str">
        <f t="shared" si="135"/>
        <v/>
      </c>
      <c r="AU120" s="304"/>
    </row>
    <row r="121" spans="1:47" ht="13.2" x14ac:dyDescent="0.25">
      <c r="A121" s="26"/>
      <c r="B121" s="38"/>
      <c r="C121" s="570" t="s">
        <v>290</v>
      </c>
      <c r="D121" s="174">
        <v>37</v>
      </c>
      <c r="E121" s="594">
        <v>1250000</v>
      </c>
      <c r="F121" s="23">
        <f t="shared" si="136"/>
        <v>6287.25</v>
      </c>
      <c r="G121" s="23">
        <f t="shared" si="137"/>
        <v>6431.25</v>
      </c>
      <c r="H121" s="23">
        <f t="shared" si="138"/>
        <v>6592.0312499999991</v>
      </c>
      <c r="I121" s="23">
        <f t="shared" si="138"/>
        <v>6756.8320312499982</v>
      </c>
      <c r="J121" s="23">
        <f t="shared" si="138"/>
        <v>6925.7528320312476</v>
      </c>
      <c r="K121" s="23">
        <f t="shared" si="138"/>
        <v>7098.8966528320279</v>
      </c>
      <c r="L121" s="23"/>
      <c r="M121" s="571"/>
      <c r="N121" s="38"/>
      <c r="O121" s="38"/>
      <c r="P121" s="236">
        <v>1250000</v>
      </c>
      <c r="Q121" s="658">
        <f t="shared" si="139"/>
        <v>144</v>
      </c>
      <c r="R121" s="659">
        <f t="shared" si="120"/>
        <v>2.2903495168793989E-2</v>
      </c>
      <c r="S121" s="658">
        <f t="shared" si="140"/>
        <v>160.78124999999909</v>
      </c>
      <c r="T121" s="660">
        <f t="shared" si="121"/>
        <v>2.4999999999999859E-2</v>
      </c>
      <c r="U121" s="661">
        <f t="shared" si="141"/>
        <v>304.78124999999909</v>
      </c>
      <c r="V121" s="662">
        <f t="shared" si="122"/>
        <v>4.8476082548013694E-2</v>
      </c>
      <c r="W121" s="661">
        <f t="shared" si="142"/>
        <v>164.80078124999909</v>
      </c>
      <c r="X121" s="659">
        <f t="shared" si="123"/>
        <v>2.4999999999999866E-2</v>
      </c>
      <c r="Y121" s="663">
        <f t="shared" si="143"/>
        <v>469.58203124999818</v>
      </c>
      <c r="Z121" s="659">
        <f t="shared" si="124"/>
        <v>7.4687984611713901E-2</v>
      </c>
      <c r="AA121" s="658">
        <f t="shared" si="144"/>
        <v>168.92080078124945</v>
      </c>
      <c r="AB121" s="660">
        <f t="shared" si="125"/>
        <v>2.4999999999999925E-2</v>
      </c>
      <c r="AC121" s="663">
        <f t="shared" si="145"/>
        <v>638.50283203124764</v>
      </c>
      <c r="AD121" s="664">
        <f t="shared" si="126"/>
        <v>0.10155518422700666</v>
      </c>
      <c r="AE121" s="252">
        <v>1250000</v>
      </c>
      <c r="AF121" s="38"/>
      <c r="AG121" s="38"/>
      <c r="AH121" s="252">
        <v>1250000</v>
      </c>
      <c r="AI121" s="658">
        <f t="shared" si="146"/>
        <v>173.1438208007803</v>
      </c>
      <c r="AJ121" s="659">
        <f t="shared" si="127"/>
        <v>2.4999999999999873E-2</v>
      </c>
      <c r="AK121" s="663">
        <f t="shared" si="128"/>
        <v>811.64665283202794</v>
      </c>
      <c r="AL121" s="659">
        <f t="shared" si="129"/>
        <v>0.12909406383268168</v>
      </c>
      <c r="AM121" s="658" t="str">
        <f t="shared" si="147"/>
        <v/>
      </c>
      <c r="AN121" s="660" t="str">
        <f t="shared" si="130"/>
        <v/>
      </c>
      <c r="AO121" s="661" t="str">
        <f t="shared" si="131"/>
        <v/>
      </c>
      <c r="AP121" s="662" t="str">
        <f t="shared" si="132"/>
        <v/>
      </c>
      <c r="AQ121" s="661" t="str">
        <f t="shared" si="148"/>
        <v/>
      </c>
      <c r="AR121" s="660" t="str">
        <f t="shared" si="133"/>
        <v/>
      </c>
      <c r="AS121" s="661" t="str">
        <f t="shared" si="134"/>
        <v/>
      </c>
      <c r="AT121" s="664" t="str">
        <f t="shared" si="135"/>
        <v/>
      </c>
      <c r="AU121" s="304"/>
    </row>
    <row r="122" spans="1:47" ht="13.2" x14ac:dyDescent="0.25">
      <c r="A122" s="26"/>
      <c r="B122" s="38"/>
      <c r="C122" s="570" t="s">
        <v>291</v>
      </c>
      <c r="D122" s="174">
        <v>7</v>
      </c>
      <c r="E122" s="594">
        <v>1750000</v>
      </c>
      <c r="F122" s="23">
        <f t="shared" si="136"/>
        <v>8647.75</v>
      </c>
      <c r="G122" s="23">
        <f t="shared" si="137"/>
        <v>8845.75</v>
      </c>
      <c r="H122" s="23">
        <f t="shared" si="138"/>
        <v>9066.8937499999993</v>
      </c>
      <c r="I122" s="23">
        <f t="shared" si="138"/>
        <v>9293.5660937499979</v>
      </c>
      <c r="J122" s="23">
        <f t="shared" si="138"/>
        <v>9525.9052460937473</v>
      </c>
      <c r="K122" s="23">
        <f t="shared" si="138"/>
        <v>9764.0528772460893</v>
      </c>
      <c r="L122" s="23"/>
      <c r="M122" s="571"/>
      <c r="N122" s="38"/>
      <c r="O122" s="38"/>
      <c r="P122" s="236">
        <v>1750000</v>
      </c>
      <c r="Q122" s="658">
        <f t="shared" si="139"/>
        <v>198</v>
      </c>
      <c r="R122" s="659">
        <f t="shared" si="120"/>
        <v>2.2896129050909195E-2</v>
      </c>
      <c r="S122" s="658">
        <f t="shared" si="140"/>
        <v>221.14374999999927</v>
      </c>
      <c r="T122" s="660">
        <f t="shared" si="121"/>
        <v>2.4999999999999918E-2</v>
      </c>
      <c r="U122" s="661">
        <f t="shared" si="141"/>
        <v>419.14374999999927</v>
      </c>
      <c r="V122" s="662">
        <f t="shared" si="122"/>
        <v>4.8468532277181842E-2</v>
      </c>
      <c r="W122" s="661">
        <f t="shared" si="142"/>
        <v>226.67234374999862</v>
      </c>
      <c r="X122" s="659">
        <f t="shared" si="123"/>
        <v>2.4999999999999849E-2</v>
      </c>
      <c r="Y122" s="663">
        <f t="shared" si="143"/>
        <v>645.81609374999789</v>
      </c>
      <c r="Z122" s="659">
        <f t="shared" si="124"/>
        <v>7.4680245584111224E-2</v>
      </c>
      <c r="AA122" s="658">
        <f t="shared" si="144"/>
        <v>232.33915234374945</v>
      </c>
      <c r="AB122" s="660">
        <f t="shared" si="125"/>
        <v>2.4999999999999946E-2</v>
      </c>
      <c r="AC122" s="663">
        <f t="shared" si="145"/>
        <v>878.15524609374734</v>
      </c>
      <c r="AD122" s="664">
        <f t="shared" si="126"/>
        <v>0.10154725172371395</v>
      </c>
      <c r="AE122" s="252">
        <v>1750000</v>
      </c>
      <c r="AF122" s="38"/>
      <c r="AG122" s="38"/>
      <c r="AH122" s="252">
        <v>1750000</v>
      </c>
      <c r="AI122" s="658">
        <f t="shared" si="146"/>
        <v>238.147631152342</v>
      </c>
      <c r="AJ122" s="659">
        <f t="shared" si="127"/>
        <v>2.4999999999999824E-2</v>
      </c>
      <c r="AK122" s="663">
        <f t="shared" si="128"/>
        <v>1116.3028772460893</v>
      </c>
      <c r="AL122" s="659">
        <f t="shared" si="129"/>
        <v>0.1290859330168066</v>
      </c>
      <c r="AM122" s="658" t="str">
        <f t="shared" si="147"/>
        <v/>
      </c>
      <c r="AN122" s="660" t="str">
        <f t="shared" si="130"/>
        <v/>
      </c>
      <c r="AO122" s="661" t="str">
        <f t="shared" si="131"/>
        <v/>
      </c>
      <c r="AP122" s="662" t="str">
        <f t="shared" si="132"/>
        <v/>
      </c>
      <c r="AQ122" s="661" t="str">
        <f t="shared" si="148"/>
        <v/>
      </c>
      <c r="AR122" s="660" t="str">
        <f t="shared" si="133"/>
        <v/>
      </c>
      <c r="AS122" s="661" t="str">
        <f t="shared" si="134"/>
        <v/>
      </c>
      <c r="AT122" s="664" t="str">
        <f t="shared" si="135"/>
        <v/>
      </c>
      <c r="AU122" s="304"/>
    </row>
    <row r="123" spans="1:47" ht="13.2" x14ac:dyDescent="0.25">
      <c r="A123" s="26"/>
      <c r="B123" s="38"/>
      <c r="C123" s="570" t="s">
        <v>292</v>
      </c>
      <c r="D123" s="174">
        <v>1</v>
      </c>
      <c r="E123" s="594">
        <v>2500000</v>
      </c>
      <c r="F123" s="23">
        <f t="shared" si="136"/>
        <v>12188.5</v>
      </c>
      <c r="G123" s="23">
        <f t="shared" si="137"/>
        <v>12467.5</v>
      </c>
      <c r="H123" s="23">
        <f t="shared" si="138"/>
        <v>12779.187499999998</v>
      </c>
      <c r="I123" s="23">
        <f t="shared" si="138"/>
        <v>13098.667187499997</v>
      </c>
      <c r="J123" s="23">
        <f t="shared" si="138"/>
        <v>13426.133867187496</v>
      </c>
      <c r="K123" s="23">
        <f t="shared" si="138"/>
        <v>13761.787213867183</v>
      </c>
      <c r="L123" s="23"/>
      <c r="M123" s="571"/>
      <c r="N123" s="38"/>
      <c r="O123" s="38"/>
      <c r="P123" s="236">
        <v>2500000</v>
      </c>
      <c r="Q123" s="658">
        <f t="shared" si="139"/>
        <v>279</v>
      </c>
      <c r="R123" s="659">
        <f t="shared" si="120"/>
        <v>2.2890429503220247E-2</v>
      </c>
      <c r="S123" s="658">
        <f t="shared" si="140"/>
        <v>311.68749999999818</v>
      </c>
      <c r="T123" s="660">
        <f t="shared" si="121"/>
        <v>2.4999999999999856E-2</v>
      </c>
      <c r="U123" s="661">
        <f t="shared" si="141"/>
        <v>590.68749999999818</v>
      </c>
      <c r="V123" s="662">
        <f t="shared" si="122"/>
        <v>4.8462690240800604E-2</v>
      </c>
      <c r="W123" s="661">
        <f t="shared" si="142"/>
        <v>319.47968749999927</v>
      </c>
      <c r="X123" s="659">
        <f t="shared" si="123"/>
        <v>2.4999999999999946E-2</v>
      </c>
      <c r="Y123" s="663">
        <f t="shared" si="143"/>
        <v>910.16718749999745</v>
      </c>
      <c r="Z123" s="659">
        <f t="shared" si="124"/>
        <v>7.4674257496820565E-2</v>
      </c>
      <c r="AA123" s="658">
        <f t="shared" si="144"/>
        <v>327.46667968749898</v>
      </c>
      <c r="AB123" s="660">
        <f t="shared" si="125"/>
        <v>2.4999999999999929E-2</v>
      </c>
      <c r="AC123" s="663">
        <f t="shared" si="145"/>
        <v>1237.6338671874964</v>
      </c>
      <c r="AD123" s="664">
        <f t="shared" si="126"/>
        <v>0.10154111393424101</v>
      </c>
      <c r="AE123" s="252">
        <v>2500000</v>
      </c>
      <c r="AF123" s="38"/>
      <c r="AG123" s="38"/>
      <c r="AH123" s="252">
        <v>2500000</v>
      </c>
      <c r="AI123" s="658">
        <f t="shared" si="146"/>
        <v>335.65334667968636</v>
      </c>
      <c r="AJ123" s="659">
        <f t="shared" si="127"/>
        <v>2.4999999999999922E-2</v>
      </c>
      <c r="AK123" s="663">
        <f t="shared" si="128"/>
        <v>1573.2872138671828</v>
      </c>
      <c r="AL123" s="659">
        <f t="shared" si="129"/>
        <v>0.12907964178259693</v>
      </c>
      <c r="AM123" s="658" t="str">
        <f t="shared" si="147"/>
        <v/>
      </c>
      <c r="AN123" s="660" t="str">
        <f t="shared" si="130"/>
        <v/>
      </c>
      <c r="AO123" s="661" t="str">
        <f t="shared" si="131"/>
        <v/>
      </c>
      <c r="AP123" s="662" t="str">
        <f t="shared" si="132"/>
        <v/>
      </c>
      <c r="AQ123" s="661" t="str">
        <f t="shared" si="148"/>
        <v/>
      </c>
      <c r="AR123" s="660" t="str">
        <f t="shared" si="133"/>
        <v/>
      </c>
      <c r="AS123" s="661" t="str">
        <f t="shared" si="134"/>
        <v/>
      </c>
      <c r="AT123" s="664" t="str">
        <f t="shared" si="135"/>
        <v/>
      </c>
      <c r="AU123" s="304"/>
    </row>
    <row r="124" spans="1:47" ht="13.8" thickBot="1" x14ac:dyDescent="0.3">
      <c r="A124" s="26"/>
      <c r="B124" s="38"/>
      <c r="C124" s="563" t="s">
        <v>15</v>
      </c>
      <c r="D124" s="576">
        <v>1</v>
      </c>
      <c r="E124" s="573">
        <v>3000000</v>
      </c>
      <c r="F124" s="23">
        <f t="shared" si="136"/>
        <v>14549</v>
      </c>
      <c r="G124" s="23">
        <f t="shared" si="137"/>
        <v>14882</v>
      </c>
      <c r="H124" s="23">
        <f t="shared" si="138"/>
        <v>15254.05</v>
      </c>
      <c r="I124" s="23">
        <f t="shared" si="138"/>
        <v>15635.401249999997</v>
      </c>
      <c r="J124" s="23">
        <f t="shared" si="138"/>
        <v>16026.286281249995</v>
      </c>
      <c r="K124" s="23">
        <f t="shared" si="138"/>
        <v>16426.943438281243</v>
      </c>
      <c r="L124" s="574"/>
      <c r="M124" s="575"/>
      <c r="N124" s="38"/>
      <c r="O124" s="38"/>
      <c r="P124" s="239">
        <v>3000000</v>
      </c>
      <c r="Q124" s="678">
        <f t="shared" si="139"/>
        <v>333</v>
      </c>
      <c r="R124" s="672">
        <f t="shared" si="120"/>
        <v>2.2888171008316721E-2</v>
      </c>
      <c r="S124" s="678">
        <f t="shared" si="140"/>
        <v>372.04999999999927</v>
      </c>
      <c r="T124" s="682">
        <f t="shared" si="121"/>
        <v>2.4999999999999953E-2</v>
      </c>
      <c r="U124" s="671">
        <f t="shared" si="141"/>
        <v>705.04999999999927</v>
      </c>
      <c r="V124" s="679">
        <f t="shared" si="122"/>
        <v>4.8460375283524593E-2</v>
      </c>
      <c r="W124" s="671">
        <f t="shared" si="142"/>
        <v>381.35124999999789</v>
      </c>
      <c r="X124" s="672">
        <f t="shared" si="123"/>
        <v>2.4999999999999863E-2</v>
      </c>
      <c r="Y124" s="670">
        <f t="shared" si="143"/>
        <v>1086.4012499999972</v>
      </c>
      <c r="Z124" s="672">
        <f t="shared" si="124"/>
        <v>7.4671884665612559E-2</v>
      </c>
      <c r="AA124" s="665">
        <f t="shared" si="144"/>
        <v>390.88503124999806</v>
      </c>
      <c r="AB124" s="667">
        <f t="shared" si="125"/>
        <v>2.499999999999988E-2</v>
      </c>
      <c r="AC124" s="670">
        <f t="shared" si="145"/>
        <v>1477.2862812499952</v>
      </c>
      <c r="AD124" s="675">
        <f t="shared" si="126"/>
        <v>0.10153868178225275</v>
      </c>
      <c r="AE124" s="253">
        <v>3000000</v>
      </c>
      <c r="AF124" s="307"/>
      <c r="AG124" s="38"/>
      <c r="AH124" s="254">
        <v>3000000</v>
      </c>
      <c r="AI124" s="665">
        <f t="shared" si="146"/>
        <v>400.65715703124806</v>
      </c>
      <c r="AJ124" s="666">
        <f t="shared" si="127"/>
        <v>2.4999999999999887E-2</v>
      </c>
      <c r="AK124" s="670">
        <f t="shared" si="128"/>
        <v>1877.9434382812433</v>
      </c>
      <c r="AL124" s="666">
        <f t="shared" si="129"/>
        <v>0.12907714882680893</v>
      </c>
      <c r="AM124" s="665" t="str">
        <f t="shared" si="147"/>
        <v/>
      </c>
      <c r="AN124" s="667" t="str">
        <f t="shared" si="130"/>
        <v/>
      </c>
      <c r="AO124" s="668" t="str">
        <f t="shared" si="131"/>
        <v/>
      </c>
      <c r="AP124" s="669" t="str">
        <f t="shared" si="132"/>
        <v/>
      </c>
      <c r="AQ124" s="668" t="str">
        <f t="shared" si="148"/>
        <v/>
      </c>
      <c r="AR124" s="667" t="str">
        <f t="shared" si="133"/>
        <v/>
      </c>
      <c r="AS124" s="668" t="str">
        <f t="shared" si="134"/>
        <v/>
      </c>
      <c r="AT124" s="675" t="str">
        <f t="shared" si="135"/>
        <v/>
      </c>
      <c r="AU124" s="304"/>
    </row>
    <row r="125" spans="1:47" ht="13.8" thickTop="1" x14ac:dyDescent="0.25">
      <c r="A125" s="26"/>
      <c r="B125" s="38"/>
      <c r="C125" s="302"/>
      <c r="D125" s="310"/>
      <c r="E125" s="243"/>
      <c r="F125" s="302"/>
      <c r="G125" s="302"/>
      <c r="H125" s="302"/>
      <c r="I125" s="302"/>
      <c r="J125" s="302"/>
      <c r="K125" s="302"/>
      <c r="L125" s="302"/>
      <c r="M125" s="302"/>
      <c r="N125" s="38"/>
      <c r="O125" s="38"/>
      <c r="P125" s="243"/>
      <c r="Q125" s="305"/>
      <c r="R125" s="306"/>
      <c r="S125" s="305"/>
      <c r="T125" s="306"/>
      <c r="U125" s="305"/>
      <c r="V125" s="306"/>
      <c r="W125" s="305"/>
      <c r="X125" s="306"/>
      <c r="Y125" s="303"/>
      <c r="Z125" s="306"/>
      <c r="AA125" s="303"/>
      <c r="AB125" s="304"/>
      <c r="AC125" s="303"/>
      <c r="AD125" s="304"/>
      <c r="AE125" s="243"/>
      <c r="AF125" s="38"/>
      <c r="AG125" s="38"/>
      <c r="AH125" s="243"/>
      <c r="AI125" s="303"/>
      <c r="AJ125" s="304"/>
      <c r="AK125" s="303"/>
      <c r="AL125" s="304"/>
      <c r="AM125" s="303"/>
      <c r="AN125" s="304"/>
      <c r="AO125" s="303"/>
      <c r="AP125" s="304"/>
      <c r="AQ125" s="303"/>
      <c r="AR125" s="304"/>
      <c r="AS125" s="303"/>
      <c r="AT125" s="304"/>
      <c r="AU125" s="304"/>
    </row>
    <row r="126" spans="1:47" ht="15.6" x14ac:dyDescent="0.3">
      <c r="A126" s="26"/>
      <c r="B126" s="38"/>
      <c r="C126" s="83" t="s">
        <v>3</v>
      </c>
      <c r="D126" s="38"/>
      <c r="E126" s="213"/>
      <c r="F126" s="38"/>
      <c r="G126" s="38"/>
      <c r="H126" s="38"/>
      <c r="I126" s="38"/>
      <c r="J126" s="38"/>
      <c r="K126" s="38"/>
      <c r="L126" s="38"/>
      <c r="M126" s="38"/>
      <c r="N126" s="38"/>
      <c r="O126" s="38"/>
      <c r="P126" s="83" t="s">
        <v>3</v>
      </c>
      <c r="Q126" s="38"/>
      <c r="R126" s="38"/>
      <c r="S126" s="38"/>
      <c r="T126" s="38"/>
      <c r="U126" s="38"/>
      <c r="V126" s="38"/>
      <c r="W126" s="38"/>
      <c r="X126" s="38"/>
      <c r="Y126" s="38"/>
      <c r="Z126" s="38"/>
      <c r="AA126" s="38"/>
      <c r="AB126" s="38"/>
      <c r="AC126" s="38"/>
      <c r="AD126" s="38"/>
      <c r="AE126" s="38"/>
      <c r="AF126" s="38"/>
      <c r="AG126" s="38"/>
      <c r="AH126" s="83" t="s">
        <v>3</v>
      </c>
      <c r="AI126" s="38"/>
      <c r="AJ126" s="38"/>
      <c r="AK126" s="38"/>
      <c r="AL126" s="38"/>
      <c r="AM126" s="38"/>
      <c r="AN126" s="38"/>
      <c r="AO126" s="38"/>
      <c r="AP126" s="38"/>
      <c r="AQ126" s="38"/>
      <c r="AR126" s="38"/>
      <c r="AS126" s="38"/>
      <c r="AT126" s="38"/>
      <c r="AU126" s="38"/>
    </row>
    <row r="127" spans="1:47" ht="16.2" thickBot="1" x14ac:dyDescent="0.35">
      <c r="A127" s="26"/>
      <c r="B127" s="38"/>
      <c r="C127" s="83"/>
      <c r="D127" s="38"/>
      <c r="E127" s="213"/>
      <c r="F127" s="38"/>
      <c r="G127" s="38"/>
      <c r="H127" s="38"/>
      <c r="I127" s="38"/>
      <c r="J127" s="38"/>
      <c r="K127" s="38"/>
      <c r="L127" s="38"/>
      <c r="M127" s="38"/>
      <c r="N127" s="38"/>
      <c r="O127" s="38"/>
      <c r="P127" s="38"/>
      <c r="Q127" s="244"/>
      <c r="R127" s="244"/>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row>
    <row r="128" spans="1:47" ht="16.8" thickTop="1" thickBot="1" x14ac:dyDescent="0.35">
      <c r="A128" s="26"/>
      <c r="B128" s="38"/>
      <c r="C128" s="38"/>
      <c r="D128" s="38"/>
      <c r="E128" s="213"/>
      <c r="F128" s="217"/>
      <c r="G128" s="218"/>
      <c r="H128" s="844" t="s">
        <v>303</v>
      </c>
      <c r="I128" s="808"/>
      <c r="J128" s="808"/>
      <c r="K128" s="808"/>
      <c r="L128" s="808"/>
      <c r="M128" s="809"/>
      <c r="N128" s="38"/>
      <c r="O128" s="38"/>
      <c r="P128" s="38"/>
      <c r="Q128" s="820" t="s">
        <v>595</v>
      </c>
      <c r="R128" s="821"/>
      <c r="S128" s="821"/>
      <c r="T128" s="821"/>
      <c r="U128" s="821"/>
      <c r="V128" s="821"/>
      <c r="W128" s="821"/>
      <c r="X128" s="821"/>
      <c r="Y128" s="821"/>
      <c r="Z128" s="821"/>
      <c r="AA128" s="821"/>
      <c r="AB128" s="821"/>
      <c r="AC128" s="821"/>
      <c r="AD128" s="822"/>
      <c r="AE128" s="219"/>
      <c r="AF128" s="38"/>
      <c r="AG128" s="38"/>
      <c r="AH128" s="820" t="s">
        <v>595</v>
      </c>
      <c r="AI128" s="821"/>
      <c r="AJ128" s="821"/>
      <c r="AK128" s="821"/>
      <c r="AL128" s="821"/>
      <c r="AM128" s="821"/>
      <c r="AN128" s="821"/>
      <c r="AO128" s="821"/>
      <c r="AP128" s="821"/>
      <c r="AQ128" s="821"/>
      <c r="AR128" s="821"/>
      <c r="AS128" s="821"/>
      <c r="AT128" s="822"/>
      <c r="AU128" s="309"/>
    </row>
    <row r="129" spans="1:47" ht="55.5" customHeight="1" thickTop="1" x14ac:dyDescent="0.2">
      <c r="A129" s="26"/>
      <c r="B129" s="38"/>
      <c r="C129" s="577" t="s">
        <v>289</v>
      </c>
      <c r="D129" s="842" t="s">
        <v>581</v>
      </c>
      <c r="E129" s="567" t="s">
        <v>293</v>
      </c>
      <c r="F129" s="592" t="s">
        <v>310</v>
      </c>
      <c r="G129" s="592" t="s">
        <v>608</v>
      </c>
      <c r="H129" s="592" t="s">
        <v>609</v>
      </c>
      <c r="I129" s="592" t="s">
        <v>610</v>
      </c>
      <c r="J129" s="592" t="s">
        <v>611</v>
      </c>
      <c r="K129" s="592" t="s">
        <v>612</v>
      </c>
      <c r="L129" s="592" t="s">
        <v>613</v>
      </c>
      <c r="M129" s="568" t="s">
        <v>614</v>
      </c>
      <c r="N129" s="38"/>
      <c r="O129" s="38"/>
      <c r="P129" s="221" t="s">
        <v>293</v>
      </c>
      <c r="Q129" s="828" t="s">
        <v>294</v>
      </c>
      <c r="R129" s="826"/>
      <c r="S129" s="823" t="s">
        <v>295</v>
      </c>
      <c r="T129" s="824"/>
      <c r="U129" s="824"/>
      <c r="V129" s="825"/>
      <c r="W129" s="796" t="s">
        <v>296</v>
      </c>
      <c r="X129" s="826"/>
      <c r="Y129" s="826"/>
      <c r="Z129" s="826"/>
      <c r="AA129" s="823" t="s">
        <v>297</v>
      </c>
      <c r="AB129" s="824"/>
      <c r="AC129" s="824"/>
      <c r="AD129" s="827"/>
      <c r="AE129" s="249" t="s">
        <v>293</v>
      </c>
      <c r="AF129" s="38"/>
      <c r="AG129" s="38"/>
      <c r="AH129" s="245" t="s">
        <v>293</v>
      </c>
      <c r="AI129" s="823" t="s">
        <v>298</v>
      </c>
      <c r="AJ129" s="824"/>
      <c r="AK129" s="824"/>
      <c r="AL129" s="825"/>
      <c r="AM129" s="796" t="s">
        <v>299</v>
      </c>
      <c r="AN129" s="826"/>
      <c r="AO129" s="826"/>
      <c r="AP129" s="826"/>
      <c r="AQ129" s="823" t="s">
        <v>300</v>
      </c>
      <c r="AR129" s="824"/>
      <c r="AS129" s="824"/>
      <c r="AT129" s="827"/>
      <c r="AU129" s="222"/>
    </row>
    <row r="130" spans="1:47" ht="13.8" thickBot="1" x14ac:dyDescent="0.3">
      <c r="A130" s="26"/>
      <c r="B130" s="38"/>
      <c r="C130" s="569"/>
      <c r="D130" s="843"/>
      <c r="E130" s="593"/>
      <c r="F130" s="643" t="str">
        <f>F110</f>
        <v>2017-18</v>
      </c>
      <c r="G130" s="643" t="str">
        <f t="shared" ref="G130:M130" si="149">G110</f>
        <v>2018-19</v>
      </c>
      <c r="H130" s="643" t="str">
        <f t="shared" si="149"/>
        <v>2019-20</v>
      </c>
      <c r="I130" s="643" t="str">
        <f t="shared" si="149"/>
        <v>2020-21</v>
      </c>
      <c r="J130" s="643" t="str">
        <f t="shared" si="149"/>
        <v>2021-22</v>
      </c>
      <c r="K130" s="643" t="str">
        <f t="shared" si="149"/>
        <v>2022-23</v>
      </c>
      <c r="L130" s="643" t="str">
        <f t="shared" si="149"/>
        <v>2023-24</v>
      </c>
      <c r="M130" s="683" t="str">
        <f t="shared" si="149"/>
        <v>2024-25</v>
      </c>
      <c r="N130" s="38"/>
      <c r="O130" s="38"/>
      <c r="P130" s="225" t="s">
        <v>71</v>
      </c>
      <c r="Q130" s="226" t="s">
        <v>44</v>
      </c>
      <c r="R130" s="227" t="s">
        <v>67</v>
      </c>
      <c r="S130" s="226" t="s">
        <v>44</v>
      </c>
      <c r="T130" s="228" t="s">
        <v>67</v>
      </c>
      <c r="U130" s="229" t="s">
        <v>45</v>
      </c>
      <c r="V130" s="230" t="s">
        <v>67</v>
      </c>
      <c r="W130" s="229" t="s">
        <v>44</v>
      </c>
      <c r="X130" s="231" t="s">
        <v>67</v>
      </c>
      <c r="Y130" s="228" t="s">
        <v>45</v>
      </c>
      <c r="Z130" s="227" t="s">
        <v>67</v>
      </c>
      <c r="AA130" s="226" t="s">
        <v>44</v>
      </c>
      <c r="AB130" s="228" t="s">
        <v>67</v>
      </c>
      <c r="AC130" s="228" t="s">
        <v>45</v>
      </c>
      <c r="AD130" s="232" t="s">
        <v>67</v>
      </c>
      <c r="AE130" s="250"/>
      <c r="AF130" s="38"/>
      <c r="AG130" s="38"/>
      <c r="AH130" s="251" t="s">
        <v>71</v>
      </c>
      <c r="AI130" s="226" t="s">
        <v>44</v>
      </c>
      <c r="AJ130" s="231" t="s">
        <v>67</v>
      </c>
      <c r="AK130" s="228" t="s">
        <v>45</v>
      </c>
      <c r="AL130" s="230" t="s">
        <v>67</v>
      </c>
      <c r="AM130" s="229" t="s">
        <v>44</v>
      </c>
      <c r="AN130" s="231" t="s">
        <v>67</v>
      </c>
      <c r="AO130" s="228" t="s">
        <v>45</v>
      </c>
      <c r="AP130" s="227" t="s">
        <v>67</v>
      </c>
      <c r="AQ130" s="226" t="s">
        <v>44</v>
      </c>
      <c r="AR130" s="231" t="s">
        <v>67</v>
      </c>
      <c r="AS130" s="228" t="s">
        <v>45</v>
      </c>
      <c r="AT130" s="232" t="s">
        <v>67</v>
      </c>
      <c r="AU130" s="308"/>
    </row>
    <row r="131" spans="1:47" ht="13.2" x14ac:dyDescent="0.25">
      <c r="A131" s="26"/>
      <c r="B131" s="38"/>
      <c r="C131" s="570" t="s">
        <v>14</v>
      </c>
      <c r="D131" s="684">
        <f>IF(D111="","",D111)</f>
        <v>21</v>
      </c>
      <c r="E131" s="237">
        <v>50000</v>
      </c>
      <c r="F131" s="23">
        <f>E131*0.4721/100+386</f>
        <v>622.04999999999995</v>
      </c>
      <c r="G131" s="23">
        <f>E131*0.4829/100+395</f>
        <v>636.45000000000005</v>
      </c>
      <c r="H131" s="606">
        <f t="shared" ref="H131:K132" si="150">G131*1.025</f>
        <v>652.36125000000004</v>
      </c>
      <c r="I131" s="606">
        <f t="shared" si="150"/>
        <v>668.67028125000002</v>
      </c>
      <c r="J131" s="606">
        <f t="shared" si="150"/>
        <v>685.38703828124994</v>
      </c>
      <c r="K131" s="606">
        <f t="shared" si="150"/>
        <v>702.52171423828111</v>
      </c>
      <c r="L131" s="606"/>
      <c r="M131" s="607"/>
      <c r="N131" s="38"/>
      <c r="O131" s="38"/>
      <c r="P131" s="236">
        <v>50000</v>
      </c>
      <c r="Q131" s="658">
        <f>IF(G131="","",IF(F131=0,"",G131-F131))</f>
        <v>14.400000000000091</v>
      </c>
      <c r="R131" s="659">
        <f t="shared" ref="R131:R144" si="151">IF(Q131="","",Q131/F131)</f>
        <v>2.314926452857502E-2</v>
      </c>
      <c r="S131" s="658">
        <f>IF(H131="","",IF(G131=0,"",H131-G131))</f>
        <v>15.911249999999995</v>
      </c>
      <c r="T131" s="660">
        <f t="shared" ref="T131:T144" si="152">IF(S131="","",S131/G131)</f>
        <v>2.4999999999999991E-2</v>
      </c>
      <c r="U131" s="661">
        <f>IF(S131="","",S131+Q131)</f>
        <v>30.311250000000086</v>
      </c>
      <c r="V131" s="662">
        <f t="shared" ref="V131:V144" si="153">IF(T131="","",U131/F131)</f>
        <v>4.8727996141789388E-2</v>
      </c>
      <c r="W131" s="661">
        <f>IF(I131="","",IF(H131=0,"",I131-H131))</f>
        <v>16.309031249999975</v>
      </c>
      <c r="X131" s="659">
        <f t="shared" ref="X131:X144" si="154">IF(W131="","",W131/H131)</f>
        <v>2.499999999999996E-2</v>
      </c>
      <c r="Y131" s="663">
        <f>IF(W131="","",W131+U131)</f>
        <v>46.620281250000062</v>
      </c>
      <c r="Z131" s="659">
        <f t="shared" ref="Z131:Z144" si="155">IF(X131="","",Y131/F131)</f>
        <v>7.4946196045334076E-2</v>
      </c>
      <c r="AA131" s="658">
        <f>IF(J131="","",IF(I131=0,"",J131-I131))</f>
        <v>16.716757031249927</v>
      </c>
      <c r="AB131" s="660">
        <f t="shared" ref="AB131:AB144" si="156">IF(AA131="","",AA131/I131)</f>
        <v>2.499999999999989E-2</v>
      </c>
      <c r="AC131" s="663">
        <f>IF(AA131="","",AA131+Y131)</f>
        <v>63.337038281249988</v>
      </c>
      <c r="AD131" s="664">
        <f t="shared" ref="AD131:AD144" si="157">IF(AB131="","",AC131/F131)</f>
        <v>0.10181985094646731</v>
      </c>
      <c r="AE131" s="252">
        <v>50000</v>
      </c>
      <c r="AF131" s="38"/>
      <c r="AG131" s="38"/>
      <c r="AH131" s="252">
        <v>50000</v>
      </c>
      <c r="AI131" s="658">
        <f>IF(K131="","",IF(J131=0,"",K131-J131))</f>
        <v>17.134675957031163</v>
      </c>
      <c r="AJ131" s="659">
        <f t="shared" ref="AJ131:AJ144" si="158">IF(AI131="","",AI131/J131)</f>
        <v>2.4999999999999876E-2</v>
      </c>
      <c r="AK131" s="663">
        <f t="shared" ref="AK131:AK144" si="159">IF(AI131="","",AI131+AC131)</f>
        <v>80.471714238281152</v>
      </c>
      <c r="AL131" s="659">
        <f t="shared" ref="AL131:AL144" si="160">IF(AK131="","",AK131/F131)</f>
        <v>0.12936534722012885</v>
      </c>
      <c r="AM131" s="658" t="str">
        <f>IF(L131="","",IF(K131=0,"",L131-K131))</f>
        <v/>
      </c>
      <c r="AN131" s="660" t="str">
        <f t="shared" ref="AN131:AN144" si="161">IF(AM131="","",AM131/K131)</f>
        <v/>
      </c>
      <c r="AO131" s="661" t="str">
        <f t="shared" ref="AO131:AO144" si="162">IF(AM131="","",AM131+AK131)</f>
        <v/>
      </c>
      <c r="AP131" s="662" t="str">
        <f t="shared" ref="AP131:AP144" si="163">IF(AO131="","",AO131/F131)</f>
        <v/>
      </c>
      <c r="AQ131" s="661" t="str">
        <f>IF(M131="","",IF(L131=0,"",M131-L131))</f>
        <v/>
      </c>
      <c r="AR131" s="660" t="str">
        <f t="shared" ref="AR131:AR144" si="164">IF(AQ131="","",AQ131/L131)</f>
        <v/>
      </c>
      <c r="AS131" s="661" t="str">
        <f t="shared" ref="AS131:AS144" si="165">IF(AQ131="","",AQ131+AO131)</f>
        <v/>
      </c>
      <c r="AT131" s="664" t="str">
        <f t="shared" ref="AT131:AT144" si="166">IF(AS131="","",AS131/F131)</f>
        <v/>
      </c>
      <c r="AU131" s="304"/>
    </row>
    <row r="132" spans="1:47" ht="13.2" x14ac:dyDescent="0.25">
      <c r="A132" s="26"/>
      <c r="B132" s="38"/>
      <c r="C132" s="570" t="s">
        <v>280</v>
      </c>
      <c r="D132" s="684">
        <f t="shared" ref="D132:D144" si="167">IF(D112="","",D112)</f>
        <v>108</v>
      </c>
      <c r="E132" s="237">
        <v>150000</v>
      </c>
      <c r="F132" s="23">
        <f t="shared" ref="F132:F144" si="168">E132*0.4721/100+386</f>
        <v>1094.1500000000001</v>
      </c>
      <c r="G132" s="23">
        <f t="shared" ref="G132:G144" si="169">E132*0.4829/100+395</f>
        <v>1119.3499999999999</v>
      </c>
      <c r="H132" s="23">
        <f t="shared" si="150"/>
        <v>1147.3337499999998</v>
      </c>
      <c r="I132" s="23">
        <f t="shared" si="150"/>
        <v>1176.0170937499997</v>
      </c>
      <c r="J132" s="23">
        <f t="shared" si="150"/>
        <v>1205.4175210937497</v>
      </c>
      <c r="K132" s="23">
        <f t="shared" si="150"/>
        <v>1235.5529591210932</v>
      </c>
      <c r="L132" s="23"/>
      <c r="M132" s="571"/>
      <c r="N132" s="38"/>
      <c r="O132" s="38"/>
      <c r="P132" s="236">
        <v>150000</v>
      </c>
      <c r="Q132" s="658">
        <f t="shared" ref="Q132:Q144" si="170">IF(G132="","",IF(F132=0,"",G132-F132))</f>
        <v>25.199999999999818</v>
      </c>
      <c r="R132" s="659">
        <f t="shared" si="151"/>
        <v>2.3031577023259895E-2</v>
      </c>
      <c r="S132" s="658">
        <f t="shared" ref="S132:S144" si="171">IF(H132="","",IF(G132=0,"",H132-G132))</f>
        <v>27.983749999999873</v>
      </c>
      <c r="T132" s="660">
        <f t="shared" si="152"/>
        <v>2.4999999999999887E-2</v>
      </c>
      <c r="U132" s="661">
        <f t="shared" ref="U132:U144" si="172">IF(S132="","",S132+Q132)</f>
        <v>53.183749999999691</v>
      </c>
      <c r="V132" s="662">
        <f t="shared" si="153"/>
        <v>4.8607366448841283E-2</v>
      </c>
      <c r="W132" s="661">
        <f t="shared" ref="W132:W144" si="173">IF(I132="","",IF(H132=0,"",I132-H132))</f>
        <v>28.683343749999949</v>
      </c>
      <c r="X132" s="659">
        <f t="shared" si="154"/>
        <v>2.499999999999996E-2</v>
      </c>
      <c r="Y132" s="663">
        <f t="shared" ref="Y132:Y144" si="174">IF(W132="","",W132+U132)</f>
        <v>81.86709374999964</v>
      </c>
      <c r="Z132" s="659">
        <f t="shared" si="155"/>
        <v>7.4822550610062266E-2</v>
      </c>
      <c r="AA132" s="658">
        <f t="shared" ref="AA132:AA144" si="175">IF(J132="","",IF(I132=0,"",J132-I132))</f>
        <v>29.400427343749925</v>
      </c>
      <c r="AB132" s="660">
        <f t="shared" si="156"/>
        <v>2.4999999999999942E-2</v>
      </c>
      <c r="AC132" s="663">
        <f t="shared" ref="AC132:AC144" si="176">IF(AA132="","",AA132+Y132)</f>
        <v>111.26752109374956</v>
      </c>
      <c r="AD132" s="664">
        <f t="shared" si="157"/>
        <v>0.10169311437531377</v>
      </c>
      <c r="AE132" s="252">
        <v>150000</v>
      </c>
      <c r="AF132" s="38"/>
      <c r="AG132" s="38"/>
      <c r="AH132" s="252">
        <v>150000</v>
      </c>
      <c r="AI132" s="658">
        <f t="shared" ref="AI132:AI144" si="177">IF(K132="","",IF(J132=0,"",K132-J132))</f>
        <v>30.135438027343525</v>
      </c>
      <c r="AJ132" s="659">
        <f t="shared" si="158"/>
        <v>2.4999999999999821E-2</v>
      </c>
      <c r="AK132" s="663">
        <f t="shared" si="159"/>
        <v>141.40295912109309</v>
      </c>
      <c r="AL132" s="659">
        <f t="shared" si="160"/>
        <v>0.12923544223469641</v>
      </c>
      <c r="AM132" s="658" t="str">
        <f t="shared" ref="AM132:AM144" si="178">IF(L132="","",IF(K132=0,"",L132-K132))</f>
        <v/>
      </c>
      <c r="AN132" s="660" t="str">
        <f t="shared" si="161"/>
        <v/>
      </c>
      <c r="AO132" s="661" t="str">
        <f t="shared" si="162"/>
        <v/>
      </c>
      <c r="AP132" s="662" t="str">
        <f t="shared" si="163"/>
        <v/>
      </c>
      <c r="AQ132" s="661" t="str">
        <f t="shared" ref="AQ132:AQ144" si="179">IF(M132="","",IF(L132=0,"",M132-L132))</f>
        <v/>
      </c>
      <c r="AR132" s="660" t="str">
        <f t="shared" si="164"/>
        <v/>
      </c>
      <c r="AS132" s="661" t="str">
        <f t="shared" si="165"/>
        <v/>
      </c>
      <c r="AT132" s="664" t="str">
        <f t="shared" si="166"/>
        <v/>
      </c>
      <c r="AU132" s="304"/>
    </row>
    <row r="133" spans="1:47" ht="13.2" x14ac:dyDescent="0.25">
      <c r="A133" s="26"/>
      <c r="B133" s="38"/>
      <c r="C133" s="570" t="s">
        <v>281</v>
      </c>
      <c r="D133" s="684">
        <f t="shared" si="167"/>
        <v>494</v>
      </c>
      <c r="E133" s="237">
        <v>250000</v>
      </c>
      <c r="F133" s="23">
        <f t="shared" si="168"/>
        <v>1566.25</v>
      </c>
      <c r="G133" s="23">
        <f t="shared" si="169"/>
        <v>1602.25</v>
      </c>
      <c r="H133" s="23">
        <f t="shared" ref="H133:K144" si="180">G133*1.025</f>
        <v>1642.3062499999999</v>
      </c>
      <c r="I133" s="23">
        <f t="shared" si="180"/>
        <v>1683.3639062499997</v>
      </c>
      <c r="J133" s="23">
        <f t="shared" si="180"/>
        <v>1725.4480039062496</v>
      </c>
      <c r="K133" s="23">
        <f t="shared" si="180"/>
        <v>1768.5842040039056</v>
      </c>
      <c r="L133" s="23"/>
      <c r="M133" s="571"/>
      <c r="N133" s="38"/>
      <c r="O133" s="38"/>
      <c r="P133" s="236">
        <v>250000</v>
      </c>
      <c r="Q133" s="658">
        <f t="shared" si="170"/>
        <v>36</v>
      </c>
      <c r="R133" s="659">
        <f t="shared" si="151"/>
        <v>2.2984836392657623E-2</v>
      </c>
      <c r="S133" s="658">
        <f t="shared" si="171"/>
        <v>40.056249999999864</v>
      </c>
      <c r="T133" s="660">
        <f t="shared" si="152"/>
        <v>2.4999999999999915E-2</v>
      </c>
      <c r="U133" s="661">
        <f t="shared" si="172"/>
        <v>76.056249999999864</v>
      </c>
      <c r="V133" s="662">
        <f t="shared" si="153"/>
        <v>4.8559457302473977E-2</v>
      </c>
      <c r="W133" s="661">
        <f t="shared" si="173"/>
        <v>41.057656249999809</v>
      </c>
      <c r="X133" s="659">
        <f t="shared" si="154"/>
        <v>2.4999999999999887E-2</v>
      </c>
      <c r="Y133" s="663">
        <f t="shared" si="174"/>
        <v>117.11390624999967</v>
      </c>
      <c r="Z133" s="659">
        <f t="shared" si="155"/>
        <v>7.4773443735035708E-2</v>
      </c>
      <c r="AA133" s="658">
        <f t="shared" si="175"/>
        <v>42.084097656249924</v>
      </c>
      <c r="AB133" s="660">
        <f t="shared" si="156"/>
        <v>2.499999999999996E-2</v>
      </c>
      <c r="AC133" s="663">
        <f t="shared" si="176"/>
        <v>159.1980039062496</v>
      </c>
      <c r="AD133" s="664">
        <f t="shared" si="157"/>
        <v>0.10164277982841155</v>
      </c>
      <c r="AE133" s="252">
        <v>250000</v>
      </c>
      <c r="AF133" s="38"/>
      <c r="AG133" s="38"/>
      <c r="AH133" s="252">
        <v>250000</v>
      </c>
      <c r="AI133" s="658">
        <f t="shared" si="177"/>
        <v>43.136200097656001</v>
      </c>
      <c r="AJ133" s="659">
        <f t="shared" si="158"/>
        <v>2.4999999999999863E-2</v>
      </c>
      <c r="AK133" s="663">
        <f t="shared" si="159"/>
        <v>202.3342040039056</v>
      </c>
      <c r="AL133" s="659">
        <f t="shared" si="160"/>
        <v>0.12918384932412169</v>
      </c>
      <c r="AM133" s="658" t="str">
        <f t="shared" si="178"/>
        <v/>
      </c>
      <c r="AN133" s="660" t="str">
        <f t="shared" si="161"/>
        <v/>
      </c>
      <c r="AO133" s="661" t="str">
        <f t="shared" si="162"/>
        <v/>
      </c>
      <c r="AP133" s="662" t="str">
        <f t="shared" si="163"/>
        <v/>
      </c>
      <c r="AQ133" s="661" t="str">
        <f t="shared" si="179"/>
        <v/>
      </c>
      <c r="AR133" s="660" t="str">
        <f t="shared" si="164"/>
        <v/>
      </c>
      <c r="AS133" s="661" t="str">
        <f t="shared" si="165"/>
        <v/>
      </c>
      <c r="AT133" s="664" t="str">
        <f t="shared" si="166"/>
        <v/>
      </c>
      <c r="AU133" s="304"/>
    </row>
    <row r="134" spans="1:47" ht="13.2" x14ac:dyDescent="0.25">
      <c r="A134" s="26"/>
      <c r="B134" s="38"/>
      <c r="C134" s="570" t="s">
        <v>282</v>
      </c>
      <c r="D134" s="684">
        <f t="shared" si="167"/>
        <v>511</v>
      </c>
      <c r="E134" s="237">
        <v>350000</v>
      </c>
      <c r="F134" s="23">
        <f t="shared" si="168"/>
        <v>2038.35</v>
      </c>
      <c r="G134" s="23">
        <f t="shared" si="169"/>
        <v>2085.15</v>
      </c>
      <c r="H134" s="23">
        <f t="shared" si="180"/>
        <v>2137.2787499999999</v>
      </c>
      <c r="I134" s="23">
        <f t="shared" si="180"/>
        <v>2190.7107187499996</v>
      </c>
      <c r="J134" s="23">
        <f t="shared" si="180"/>
        <v>2245.4784867187495</v>
      </c>
      <c r="K134" s="23">
        <f t="shared" si="180"/>
        <v>2301.6154488867182</v>
      </c>
      <c r="L134" s="23"/>
      <c r="M134" s="571"/>
      <c r="N134" s="38"/>
      <c r="O134" s="38"/>
      <c r="P134" s="236">
        <v>350000</v>
      </c>
      <c r="Q134" s="658">
        <f t="shared" si="170"/>
        <v>46.800000000000182</v>
      </c>
      <c r="R134" s="659">
        <f t="shared" si="151"/>
        <v>2.2959746854073239E-2</v>
      </c>
      <c r="S134" s="658">
        <f t="shared" si="171"/>
        <v>52.128749999999854</v>
      </c>
      <c r="T134" s="660">
        <f t="shared" si="152"/>
        <v>2.4999999999999929E-2</v>
      </c>
      <c r="U134" s="661">
        <f t="shared" si="172"/>
        <v>98.928750000000036</v>
      </c>
      <c r="V134" s="662">
        <f t="shared" si="153"/>
        <v>4.8533740525424994E-2</v>
      </c>
      <c r="W134" s="661">
        <f t="shared" si="173"/>
        <v>53.431968749999669</v>
      </c>
      <c r="X134" s="659">
        <f t="shared" si="154"/>
        <v>2.4999999999999845E-2</v>
      </c>
      <c r="Y134" s="663">
        <f t="shared" si="174"/>
        <v>152.36071874999971</v>
      </c>
      <c r="Z134" s="659">
        <f t="shared" si="155"/>
        <v>7.4747084038560466E-2</v>
      </c>
      <c r="AA134" s="658">
        <f t="shared" si="175"/>
        <v>54.767767968749922</v>
      </c>
      <c r="AB134" s="660">
        <f t="shared" si="156"/>
        <v>2.499999999999997E-2</v>
      </c>
      <c r="AC134" s="663">
        <f t="shared" si="176"/>
        <v>207.12848671874963</v>
      </c>
      <c r="AD134" s="664">
        <f t="shared" si="157"/>
        <v>0.10161576113952443</v>
      </c>
      <c r="AE134" s="252">
        <v>350000</v>
      </c>
      <c r="AF134" s="38"/>
      <c r="AG134" s="38"/>
      <c r="AH134" s="252">
        <v>350000</v>
      </c>
      <c r="AI134" s="658">
        <f t="shared" si="177"/>
        <v>56.136962167968704</v>
      </c>
      <c r="AJ134" s="659">
        <f t="shared" si="158"/>
        <v>2.4999999999999984E-2</v>
      </c>
      <c r="AK134" s="663">
        <f t="shared" si="159"/>
        <v>263.26544888671833</v>
      </c>
      <c r="AL134" s="659">
        <f t="shared" si="160"/>
        <v>0.12915615516801254</v>
      </c>
      <c r="AM134" s="658" t="str">
        <f t="shared" si="178"/>
        <v/>
      </c>
      <c r="AN134" s="660" t="str">
        <f t="shared" si="161"/>
        <v/>
      </c>
      <c r="AO134" s="661" t="str">
        <f t="shared" si="162"/>
        <v/>
      </c>
      <c r="AP134" s="662" t="str">
        <f t="shared" si="163"/>
        <v/>
      </c>
      <c r="AQ134" s="661" t="str">
        <f t="shared" si="179"/>
        <v/>
      </c>
      <c r="AR134" s="660" t="str">
        <f t="shared" si="164"/>
        <v/>
      </c>
      <c r="AS134" s="661" t="str">
        <f t="shared" si="165"/>
        <v/>
      </c>
      <c r="AT134" s="664" t="str">
        <f t="shared" si="166"/>
        <v/>
      </c>
      <c r="AU134" s="304"/>
    </row>
    <row r="135" spans="1:47" ht="13.2" x14ac:dyDescent="0.25">
      <c r="A135" s="26"/>
      <c r="B135" s="38"/>
      <c r="C135" s="570" t="s">
        <v>283</v>
      </c>
      <c r="D135" s="684">
        <f t="shared" si="167"/>
        <v>317</v>
      </c>
      <c r="E135" s="237">
        <v>450000</v>
      </c>
      <c r="F135" s="23">
        <f t="shared" si="168"/>
        <v>2510.4499999999998</v>
      </c>
      <c r="G135" s="23">
        <f t="shared" si="169"/>
        <v>2568.0500000000002</v>
      </c>
      <c r="H135" s="23">
        <f t="shared" si="180"/>
        <v>2632.2512499999998</v>
      </c>
      <c r="I135" s="23">
        <f t="shared" si="180"/>
        <v>2698.0575312499996</v>
      </c>
      <c r="J135" s="23">
        <f t="shared" si="180"/>
        <v>2765.5089695312495</v>
      </c>
      <c r="K135" s="23">
        <f t="shared" si="180"/>
        <v>2834.6466937695304</v>
      </c>
      <c r="L135" s="23"/>
      <c r="M135" s="571"/>
      <c r="N135" s="38"/>
      <c r="O135" s="38"/>
      <c r="P135" s="236">
        <v>450000</v>
      </c>
      <c r="Q135" s="658">
        <f t="shared" si="170"/>
        <v>57.600000000000364</v>
      </c>
      <c r="R135" s="659">
        <f t="shared" si="151"/>
        <v>2.2944093688382707E-2</v>
      </c>
      <c r="S135" s="658">
        <f t="shared" si="171"/>
        <v>64.201249999999618</v>
      </c>
      <c r="T135" s="660">
        <f t="shared" si="152"/>
        <v>2.4999999999999849E-2</v>
      </c>
      <c r="U135" s="661">
        <f t="shared" si="172"/>
        <v>121.80124999999998</v>
      </c>
      <c r="V135" s="662">
        <f t="shared" si="153"/>
        <v>4.8517696030592118E-2</v>
      </c>
      <c r="W135" s="661">
        <f t="shared" si="173"/>
        <v>65.806281249999756</v>
      </c>
      <c r="X135" s="659">
        <f t="shared" si="154"/>
        <v>2.4999999999999908E-2</v>
      </c>
      <c r="Y135" s="663">
        <f t="shared" si="174"/>
        <v>187.60753124999974</v>
      </c>
      <c r="Z135" s="659">
        <f t="shared" si="155"/>
        <v>7.4730638431356827E-2</v>
      </c>
      <c r="AA135" s="658">
        <f t="shared" si="175"/>
        <v>67.451438281249921</v>
      </c>
      <c r="AB135" s="660">
        <f t="shared" si="156"/>
        <v>2.4999999999999974E-2</v>
      </c>
      <c r="AC135" s="663">
        <f t="shared" si="176"/>
        <v>255.05896953124966</v>
      </c>
      <c r="AD135" s="664">
        <f t="shared" si="157"/>
        <v>0.10159890439214073</v>
      </c>
      <c r="AE135" s="252">
        <v>450000</v>
      </c>
      <c r="AF135" s="38"/>
      <c r="AG135" s="38"/>
      <c r="AH135" s="252">
        <v>450000</v>
      </c>
      <c r="AI135" s="658">
        <f t="shared" si="177"/>
        <v>69.137724238280953</v>
      </c>
      <c r="AJ135" s="659">
        <f t="shared" si="158"/>
        <v>2.4999999999999897E-2</v>
      </c>
      <c r="AK135" s="663">
        <f t="shared" si="159"/>
        <v>324.19669376953061</v>
      </c>
      <c r="AL135" s="659">
        <f t="shared" si="160"/>
        <v>0.12913887700194412</v>
      </c>
      <c r="AM135" s="658" t="str">
        <f t="shared" si="178"/>
        <v/>
      </c>
      <c r="AN135" s="660" t="str">
        <f t="shared" si="161"/>
        <v/>
      </c>
      <c r="AO135" s="661" t="str">
        <f t="shared" si="162"/>
        <v/>
      </c>
      <c r="AP135" s="662" t="str">
        <f t="shared" si="163"/>
        <v/>
      </c>
      <c r="AQ135" s="661" t="str">
        <f t="shared" si="179"/>
        <v/>
      </c>
      <c r="AR135" s="660" t="str">
        <f t="shared" si="164"/>
        <v/>
      </c>
      <c r="AS135" s="661" t="str">
        <f t="shared" si="165"/>
        <v/>
      </c>
      <c r="AT135" s="664" t="str">
        <f t="shared" si="166"/>
        <v/>
      </c>
      <c r="AU135" s="304"/>
    </row>
    <row r="136" spans="1:47" ht="13.2" x14ac:dyDescent="0.25">
      <c r="A136" s="26"/>
      <c r="B136" s="38"/>
      <c r="C136" s="570" t="s">
        <v>284</v>
      </c>
      <c r="D136" s="684">
        <f t="shared" si="167"/>
        <v>169</v>
      </c>
      <c r="E136" s="237">
        <v>550000</v>
      </c>
      <c r="F136" s="23">
        <f t="shared" si="168"/>
        <v>2982.55</v>
      </c>
      <c r="G136" s="23">
        <f t="shared" si="169"/>
        <v>3050.95</v>
      </c>
      <c r="H136" s="23">
        <f t="shared" si="180"/>
        <v>3127.2237499999997</v>
      </c>
      <c r="I136" s="23">
        <f t="shared" si="180"/>
        <v>3205.4043437499995</v>
      </c>
      <c r="J136" s="23">
        <f t="shared" si="180"/>
        <v>3285.5394523437494</v>
      </c>
      <c r="K136" s="23">
        <f t="shared" si="180"/>
        <v>3367.6779386523431</v>
      </c>
      <c r="L136" s="23"/>
      <c r="M136" s="571"/>
      <c r="N136" s="38"/>
      <c r="O136" s="38"/>
      <c r="P136" s="236">
        <v>550000</v>
      </c>
      <c r="Q136" s="658">
        <f t="shared" si="170"/>
        <v>68.399999999999636</v>
      </c>
      <c r="R136" s="659">
        <f t="shared" si="151"/>
        <v>2.2933395919598878E-2</v>
      </c>
      <c r="S136" s="658">
        <f t="shared" si="171"/>
        <v>76.273749999999836</v>
      </c>
      <c r="T136" s="660">
        <f t="shared" si="152"/>
        <v>2.4999999999999949E-2</v>
      </c>
      <c r="U136" s="661">
        <f t="shared" si="172"/>
        <v>144.67374999999947</v>
      </c>
      <c r="V136" s="662">
        <f t="shared" si="153"/>
        <v>4.8506730817588793E-2</v>
      </c>
      <c r="W136" s="661">
        <f t="shared" si="173"/>
        <v>78.180593749999844</v>
      </c>
      <c r="X136" s="659">
        <f t="shared" si="154"/>
        <v>2.4999999999999953E-2</v>
      </c>
      <c r="Y136" s="663">
        <f t="shared" si="174"/>
        <v>222.85434374999932</v>
      </c>
      <c r="Z136" s="659">
        <f t="shared" si="155"/>
        <v>7.4719399088028465E-2</v>
      </c>
      <c r="AA136" s="658">
        <f t="shared" si="175"/>
        <v>80.135108593749919</v>
      </c>
      <c r="AB136" s="660">
        <f t="shared" si="156"/>
        <v>2.4999999999999977E-2</v>
      </c>
      <c r="AC136" s="663">
        <f t="shared" si="176"/>
        <v>302.98945234374924</v>
      </c>
      <c r="AD136" s="664">
        <f t="shared" si="157"/>
        <v>0.10158738406522916</v>
      </c>
      <c r="AE136" s="252">
        <v>550000</v>
      </c>
      <c r="AF136" s="38"/>
      <c r="AG136" s="38"/>
      <c r="AH136" s="252">
        <v>550000</v>
      </c>
      <c r="AI136" s="658">
        <f t="shared" si="177"/>
        <v>82.138486308593656</v>
      </c>
      <c r="AJ136" s="659">
        <f t="shared" si="158"/>
        <v>2.4999999999999977E-2</v>
      </c>
      <c r="AK136" s="663">
        <f t="shared" si="159"/>
        <v>385.12793865234289</v>
      </c>
      <c r="AL136" s="659">
        <f t="shared" si="160"/>
        <v>0.12912706866685986</v>
      </c>
      <c r="AM136" s="658" t="str">
        <f t="shared" si="178"/>
        <v/>
      </c>
      <c r="AN136" s="660" t="str">
        <f t="shared" si="161"/>
        <v/>
      </c>
      <c r="AO136" s="661" t="str">
        <f t="shared" si="162"/>
        <v/>
      </c>
      <c r="AP136" s="662" t="str">
        <f t="shared" si="163"/>
        <v/>
      </c>
      <c r="AQ136" s="661" t="str">
        <f t="shared" si="179"/>
        <v/>
      </c>
      <c r="AR136" s="660" t="str">
        <f t="shared" si="164"/>
        <v/>
      </c>
      <c r="AS136" s="661" t="str">
        <f t="shared" si="165"/>
        <v/>
      </c>
      <c r="AT136" s="664" t="str">
        <f t="shared" si="166"/>
        <v/>
      </c>
      <c r="AU136" s="304"/>
    </row>
    <row r="137" spans="1:47" ht="13.2" x14ac:dyDescent="0.25">
      <c r="A137" s="26"/>
      <c r="B137" s="38"/>
      <c r="C137" s="570" t="s">
        <v>285</v>
      </c>
      <c r="D137" s="684">
        <f t="shared" si="167"/>
        <v>105</v>
      </c>
      <c r="E137" s="237">
        <v>650000</v>
      </c>
      <c r="F137" s="23">
        <f t="shared" si="168"/>
        <v>3454.65</v>
      </c>
      <c r="G137" s="23">
        <f t="shared" si="169"/>
        <v>3533.85</v>
      </c>
      <c r="H137" s="23">
        <f t="shared" si="180"/>
        <v>3622.1962499999995</v>
      </c>
      <c r="I137" s="23">
        <f t="shared" si="180"/>
        <v>3712.751156249999</v>
      </c>
      <c r="J137" s="23">
        <f t="shared" si="180"/>
        <v>3805.5699351562484</v>
      </c>
      <c r="K137" s="23">
        <f t="shared" si="180"/>
        <v>3900.7091835351544</v>
      </c>
      <c r="L137" s="23"/>
      <c r="M137" s="571"/>
      <c r="N137" s="38"/>
      <c r="O137" s="38"/>
      <c r="P137" s="236">
        <v>650000</v>
      </c>
      <c r="Q137" s="658">
        <f t="shared" si="170"/>
        <v>79.199999999999818</v>
      </c>
      <c r="R137" s="659">
        <f t="shared" si="151"/>
        <v>2.2925621987755579E-2</v>
      </c>
      <c r="S137" s="658">
        <f t="shared" si="171"/>
        <v>88.3462499999996</v>
      </c>
      <c r="T137" s="660">
        <f t="shared" si="152"/>
        <v>2.4999999999999887E-2</v>
      </c>
      <c r="U137" s="661">
        <f t="shared" si="172"/>
        <v>167.54624999999942</v>
      </c>
      <c r="V137" s="662">
        <f t="shared" si="153"/>
        <v>4.8498762537449357E-2</v>
      </c>
      <c r="W137" s="661">
        <f t="shared" si="173"/>
        <v>90.554906249999476</v>
      </c>
      <c r="X137" s="659">
        <f t="shared" si="154"/>
        <v>2.4999999999999859E-2</v>
      </c>
      <c r="Y137" s="663">
        <f t="shared" si="174"/>
        <v>258.10115624999889</v>
      </c>
      <c r="Z137" s="659">
        <f t="shared" si="155"/>
        <v>7.4711231600885442E-2</v>
      </c>
      <c r="AA137" s="658">
        <f t="shared" si="175"/>
        <v>92.818778906249463</v>
      </c>
      <c r="AB137" s="660">
        <f t="shared" si="156"/>
        <v>2.4999999999999863E-2</v>
      </c>
      <c r="AC137" s="663">
        <f t="shared" si="176"/>
        <v>350.91993515624836</v>
      </c>
      <c r="AD137" s="664">
        <f t="shared" si="157"/>
        <v>0.10157901239090743</v>
      </c>
      <c r="AE137" s="252">
        <v>650000</v>
      </c>
      <c r="AF137" s="38"/>
      <c r="AG137" s="38"/>
      <c r="AH137" s="252">
        <v>650000</v>
      </c>
      <c r="AI137" s="658">
        <f t="shared" si="177"/>
        <v>95.139248378905904</v>
      </c>
      <c r="AJ137" s="659">
        <f t="shared" si="158"/>
        <v>2.4999999999999918E-2</v>
      </c>
      <c r="AK137" s="663">
        <f t="shared" si="159"/>
        <v>446.05918353515426</v>
      </c>
      <c r="AL137" s="659">
        <f t="shared" si="160"/>
        <v>0.12911848770068002</v>
      </c>
      <c r="AM137" s="658" t="str">
        <f t="shared" si="178"/>
        <v/>
      </c>
      <c r="AN137" s="660" t="str">
        <f t="shared" si="161"/>
        <v/>
      </c>
      <c r="AO137" s="661" t="str">
        <f t="shared" si="162"/>
        <v/>
      </c>
      <c r="AP137" s="662" t="str">
        <f t="shared" si="163"/>
        <v/>
      </c>
      <c r="AQ137" s="661" t="str">
        <f t="shared" si="179"/>
        <v/>
      </c>
      <c r="AR137" s="660" t="str">
        <f t="shared" si="164"/>
        <v/>
      </c>
      <c r="AS137" s="661" t="str">
        <f t="shared" si="165"/>
        <v/>
      </c>
      <c r="AT137" s="664" t="str">
        <f t="shared" si="166"/>
        <v/>
      </c>
      <c r="AU137" s="304"/>
    </row>
    <row r="138" spans="1:47" ht="13.2" x14ac:dyDescent="0.25">
      <c r="A138" s="26"/>
      <c r="B138" s="38"/>
      <c r="C138" s="570" t="s">
        <v>286</v>
      </c>
      <c r="D138" s="684">
        <f t="shared" si="167"/>
        <v>69</v>
      </c>
      <c r="E138" s="237">
        <v>750000</v>
      </c>
      <c r="F138" s="23">
        <f t="shared" si="168"/>
        <v>3926.75</v>
      </c>
      <c r="G138" s="23">
        <f t="shared" si="169"/>
        <v>4016.75</v>
      </c>
      <c r="H138" s="23">
        <f t="shared" si="180"/>
        <v>4117.1687499999998</v>
      </c>
      <c r="I138" s="23">
        <f t="shared" si="180"/>
        <v>4220.0979687499994</v>
      </c>
      <c r="J138" s="23">
        <f t="shared" si="180"/>
        <v>4325.6004179687488</v>
      </c>
      <c r="K138" s="23">
        <f t="shared" si="180"/>
        <v>4433.7404284179675</v>
      </c>
      <c r="L138" s="23"/>
      <c r="M138" s="571"/>
      <c r="N138" s="38"/>
      <c r="O138" s="38"/>
      <c r="P138" s="236">
        <v>750000</v>
      </c>
      <c r="Q138" s="658">
        <f t="shared" si="170"/>
        <v>90</v>
      </c>
      <c r="R138" s="659">
        <f t="shared" si="151"/>
        <v>2.2919717323486345E-2</v>
      </c>
      <c r="S138" s="658">
        <f t="shared" si="171"/>
        <v>100.41874999999982</v>
      </c>
      <c r="T138" s="660">
        <f t="shared" si="152"/>
        <v>2.4999999999999956E-2</v>
      </c>
      <c r="U138" s="661">
        <f t="shared" si="172"/>
        <v>190.41874999999982</v>
      </c>
      <c r="V138" s="662">
        <f t="shared" si="153"/>
        <v>4.8492710256573458E-2</v>
      </c>
      <c r="W138" s="661">
        <f t="shared" si="173"/>
        <v>102.92921874999956</v>
      </c>
      <c r="X138" s="659">
        <f t="shared" si="154"/>
        <v>2.4999999999999894E-2</v>
      </c>
      <c r="Y138" s="663">
        <f t="shared" si="174"/>
        <v>293.34796874999938</v>
      </c>
      <c r="Z138" s="659">
        <f t="shared" si="155"/>
        <v>7.4705028012987687E-2</v>
      </c>
      <c r="AA138" s="658">
        <f t="shared" si="175"/>
        <v>105.50244921874946</v>
      </c>
      <c r="AB138" s="660">
        <f t="shared" si="156"/>
        <v>2.4999999999999876E-2</v>
      </c>
      <c r="AC138" s="663">
        <f t="shared" si="176"/>
        <v>398.85041796874884</v>
      </c>
      <c r="AD138" s="664">
        <f t="shared" si="157"/>
        <v>0.10157265371331224</v>
      </c>
      <c r="AE138" s="252">
        <v>750000</v>
      </c>
      <c r="AF138" s="38"/>
      <c r="AG138" s="38"/>
      <c r="AH138" s="252">
        <v>750000</v>
      </c>
      <c r="AI138" s="658">
        <f t="shared" si="177"/>
        <v>108.14001044921861</v>
      </c>
      <c r="AJ138" s="659">
        <f t="shared" si="158"/>
        <v>2.4999999999999974E-2</v>
      </c>
      <c r="AK138" s="663">
        <f t="shared" si="159"/>
        <v>506.99042841796745</v>
      </c>
      <c r="AL138" s="659">
        <f t="shared" si="160"/>
        <v>0.12911197005614503</v>
      </c>
      <c r="AM138" s="658" t="str">
        <f t="shared" si="178"/>
        <v/>
      </c>
      <c r="AN138" s="660" t="str">
        <f t="shared" si="161"/>
        <v/>
      </c>
      <c r="AO138" s="661" t="str">
        <f t="shared" si="162"/>
        <v/>
      </c>
      <c r="AP138" s="662" t="str">
        <f t="shared" si="163"/>
        <v/>
      </c>
      <c r="AQ138" s="661" t="str">
        <f t="shared" si="179"/>
        <v/>
      </c>
      <c r="AR138" s="660" t="str">
        <f t="shared" si="164"/>
        <v/>
      </c>
      <c r="AS138" s="661" t="str">
        <f t="shared" si="165"/>
        <v/>
      </c>
      <c r="AT138" s="664" t="str">
        <f t="shared" si="166"/>
        <v/>
      </c>
      <c r="AU138" s="304"/>
    </row>
    <row r="139" spans="1:47" ht="13.2" x14ac:dyDescent="0.25">
      <c r="A139" s="26"/>
      <c r="B139" s="38"/>
      <c r="C139" s="570" t="s">
        <v>287</v>
      </c>
      <c r="D139" s="684">
        <f t="shared" si="167"/>
        <v>34</v>
      </c>
      <c r="E139" s="237">
        <v>850000</v>
      </c>
      <c r="F139" s="23">
        <f t="shared" si="168"/>
        <v>4398.8500000000004</v>
      </c>
      <c r="G139" s="23">
        <f t="shared" si="169"/>
        <v>4499.6499999999996</v>
      </c>
      <c r="H139" s="23">
        <f t="shared" si="180"/>
        <v>4612.1412499999997</v>
      </c>
      <c r="I139" s="23">
        <f t="shared" si="180"/>
        <v>4727.4447812499993</v>
      </c>
      <c r="J139" s="23">
        <f t="shared" si="180"/>
        <v>4845.6309007812488</v>
      </c>
      <c r="K139" s="23">
        <f t="shared" si="180"/>
        <v>4966.7716733007792</v>
      </c>
      <c r="L139" s="23"/>
      <c r="M139" s="571"/>
      <c r="N139" s="38"/>
      <c r="O139" s="38"/>
      <c r="P139" s="236">
        <v>850000</v>
      </c>
      <c r="Q139" s="658">
        <f t="shared" si="170"/>
        <v>100.79999999999927</v>
      </c>
      <c r="R139" s="659">
        <f t="shared" si="151"/>
        <v>2.2915080077747427E-2</v>
      </c>
      <c r="S139" s="658">
        <f t="shared" si="171"/>
        <v>112.49125000000004</v>
      </c>
      <c r="T139" s="660">
        <f t="shared" si="152"/>
        <v>2.5000000000000012E-2</v>
      </c>
      <c r="U139" s="661">
        <f t="shared" si="172"/>
        <v>213.29124999999931</v>
      </c>
      <c r="V139" s="662">
        <f t="shared" si="153"/>
        <v>4.848795707969112E-2</v>
      </c>
      <c r="W139" s="661">
        <f t="shared" si="173"/>
        <v>115.30353124999965</v>
      </c>
      <c r="X139" s="659">
        <f t="shared" si="154"/>
        <v>2.4999999999999925E-2</v>
      </c>
      <c r="Y139" s="663">
        <f t="shared" si="174"/>
        <v>328.59478124999896</v>
      </c>
      <c r="Z139" s="659">
        <f t="shared" si="155"/>
        <v>7.4700156006683324E-2</v>
      </c>
      <c r="AA139" s="658">
        <f t="shared" si="175"/>
        <v>118.18611953124946</v>
      </c>
      <c r="AB139" s="660">
        <f t="shared" si="156"/>
        <v>2.499999999999989E-2</v>
      </c>
      <c r="AC139" s="663">
        <f t="shared" si="176"/>
        <v>446.78090078124842</v>
      </c>
      <c r="AD139" s="664">
        <f t="shared" si="157"/>
        <v>0.10156765990685028</v>
      </c>
      <c r="AE139" s="252">
        <v>850000</v>
      </c>
      <c r="AF139" s="38"/>
      <c r="AG139" s="38"/>
      <c r="AH139" s="252">
        <v>850000</v>
      </c>
      <c r="AI139" s="658">
        <f t="shared" si="177"/>
        <v>121.1407725195304</v>
      </c>
      <c r="AJ139" s="659">
        <f t="shared" si="158"/>
        <v>2.4999999999999831E-2</v>
      </c>
      <c r="AK139" s="663">
        <f t="shared" si="159"/>
        <v>567.92167330077882</v>
      </c>
      <c r="AL139" s="659">
        <f t="shared" si="160"/>
        <v>0.12910685140452136</v>
      </c>
      <c r="AM139" s="658" t="str">
        <f t="shared" si="178"/>
        <v/>
      </c>
      <c r="AN139" s="660" t="str">
        <f t="shared" si="161"/>
        <v/>
      </c>
      <c r="AO139" s="661" t="str">
        <f t="shared" si="162"/>
        <v/>
      </c>
      <c r="AP139" s="662" t="str">
        <f t="shared" si="163"/>
        <v/>
      </c>
      <c r="AQ139" s="661" t="str">
        <f t="shared" si="179"/>
        <v/>
      </c>
      <c r="AR139" s="660" t="str">
        <f t="shared" si="164"/>
        <v/>
      </c>
      <c r="AS139" s="661" t="str">
        <f t="shared" si="165"/>
        <v/>
      </c>
      <c r="AT139" s="664" t="str">
        <f t="shared" si="166"/>
        <v/>
      </c>
      <c r="AU139" s="304"/>
    </row>
    <row r="140" spans="1:47" ht="13.2" x14ac:dyDescent="0.25">
      <c r="A140" s="26"/>
      <c r="B140" s="38"/>
      <c r="C140" s="570" t="s">
        <v>288</v>
      </c>
      <c r="D140" s="684">
        <f t="shared" si="167"/>
        <v>27</v>
      </c>
      <c r="E140" s="237">
        <v>950000</v>
      </c>
      <c r="F140" s="23">
        <f t="shared" si="168"/>
        <v>4870.95</v>
      </c>
      <c r="G140" s="23">
        <f t="shared" si="169"/>
        <v>4982.55</v>
      </c>
      <c r="H140" s="23">
        <f t="shared" si="180"/>
        <v>5107.1137499999995</v>
      </c>
      <c r="I140" s="23">
        <f t="shared" si="180"/>
        <v>5234.7915937499993</v>
      </c>
      <c r="J140" s="23">
        <f t="shared" si="180"/>
        <v>5365.6613835937487</v>
      </c>
      <c r="K140" s="23">
        <f t="shared" si="180"/>
        <v>5499.8029181835918</v>
      </c>
      <c r="L140" s="23"/>
      <c r="M140" s="571"/>
      <c r="N140" s="38"/>
      <c r="O140" s="38"/>
      <c r="P140" s="236">
        <v>950000</v>
      </c>
      <c r="Q140" s="658">
        <f t="shared" si="170"/>
        <v>111.60000000000036</v>
      </c>
      <c r="R140" s="659">
        <f t="shared" si="151"/>
        <v>2.2911341730052735E-2</v>
      </c>
      <c r="S140" s="658">
        <f t="shared" si="171"/>
        <v>124.56374999999935</v>
      </c>
      <c r="T140" s="660">
        <f t="shared" si="152"/>
        <v>2.4999999999999866E-2</v>
      </c>
      <c r="U140" s="661">
        <f t="shared" si="172"/>
        <v>236.16374999999971</v>
      </c>
      <c r="V140" s="662">
        <f t="shared" si="153"/>
        <v>4.8484125273303917E-2</v>
      </c>
      <c r="W140" s="661">
        <f t="shared" si="173"/>
        <v>127.67784374999974</v>
      </c>
      <c r="X140" s="659">
        <f t="shared" si="154"/>
        <v>2.4999999999999949E-2</v>
      </c>
      <c r="Y140" s="663">
        <f t="shared" si="174"/>
        <v>363.84159374999945</v>
      </c>
      <c r="Z140" s="659">
        <f t="shared" si="155"/>
        <v>7.4696228405136469E-2</v>
      </c>
      <c r="AA140" s="658">
        <f t="shared" si="175"/>
        <v>130.86978984374946</v>
      </c>
      <c r="AB140" s="660">
        <f t="shared" si="156"/>
        <v>2.4999999999999901E-2</v>
      </c>
      <c r="AC140" s="663">
        <f t="shared" si="176"/>
        <v>494.71138359374891</v>
      </c>
      <c r="AD140" s="664">
        <f t="shared" si="157"/>
        <v>0.10156363411526477</v>
      </c>
      <c r="AE140" s="252">
        <v>950000</v>
      </c>
      <c r="AF140" s="38"/>
      <c r="AG140" s="38"/>
      <c r="AH140" s="252">
        <v>950000</v>
      </c>
      <c r="AI140" s="658">
        <f t="shared" si="177"/>
        <v>134.1415345898431</v>
      </c>
      <c r="AJ140" s="659">
        <f t="shared" si="158"/>
        <v>2.4999999999999887E-2</v>
      </c>
      <c r="AK140" s="663">
        <f t="shared" si="159"/>
        <v>628.85291818359201</v>
      </c>
      <c r="AL140" s="659">
        <f t="shared" si="160"/>
        <v>0.12910272496814626</v>
      </c>
      <c r="AM140" s="658" t="str">
        <f t="shared" si="178"/>
        <v/>
      </c>
      <c r="AN140" s="660" t="str">
        <f t="shared" si="161"/>
        <v/>
      </c>
      <c r="AO140" s="661" t="str">
        <f t="shared" si="162"/>
        <v/>
      </c>
      <c r="AP140" s="662" t="str">
        <f t="shared" si="163"/>
        <v/>
      </c>
      <c r="AQ140" s="661" t="str">
        <f t="shared" si="179"/>
        <v/>
      </c>
      <c r="AR140" s="660" t="str">
        <f t="shared" si="164"/>
        <v/>
      </c>
      <c r="AS140" s="661" t="str">
        <f t="shared" si="165"/>
        <v/>
      </c>
      <c r="AT140" s="664" t="str">
        <f t="shared" si="166"/>
        <v/>
      </c>
      <c r="AU140" s="304"/>
    </row>
    <row r="141" spans="1:47" ht="13.2" x14ac:dyDescent="0.25">
      <c r="A141" s="26"/>
      <c r="B141" s="38"/>
      <c r="C141" s="570" t="s">
        <v>290</v>
      </c>
      <c r="D141" s="684">
        <f t="shared" si="167"/>
        <v>37</v>
      </c>
      <c r="E141" s="237">
        <v>1250000</v>
      </c>
      <c r="F141" s="23">
        <f t="shared" si="168"/>
        <v>6287.25</v>
      </c>
      <c r="G141" s="23">
        <f t="shared" si="169"/>
        <v>6431.25</v>
      </c>
      <c r="H141" s="23">
        <f t="shared" si="180"/>
        <v>6592.0312499999991</v>
      </c>
      <c r="I141" s="23">
        <f t="shared" si="180"/>
        <v>6756.8320312499982</v>
      </c>
      <c r="J141" s="23">
        <f t="shared" si="180"/>
        <v>6925.7528320312476</v>
      </c>
      <c r="K141" s="23">
        <f t="shared" si="180"/>
        <v>7098.8966528320279</v>
      </c>
      <c r="L141" s="23"/>
      <c r="M141" s="571"/>
      <c r="N141" s="38"/>
      <c r="O141" s="38"/>
      <c r="P141" s="236">
        <v>1250000</v>
      </c>
      <c r="Q141" s="658">
        <f t="shared" si="170"/>
        <v>144</v>
      </c>
      <c r="R141" s="659">
        <f t="shared" si="151"/>
        <v>2.2903495168793989E-2</v>
      </c>
      <c r="S141" s="658">
        <f t="shared" si="171"/>
        <v>160.78124999999909</v>
      </c>
      <c r="T141" s="660">
        <f t="shared" si="152"/>
        <v>2.4999999999999859E-2</v>
      </c>
      <c r="U141" s="661">
        <f t="shared" si="172"/>
        <v>304.78124999999909</v>
      </c>
      <c r="V141" s="662">
        <f t="shared" si="153"/>
        <v>4.8476082548013694E-2</v>
      </c>
      <c r="W141" s="661">
        <f t="shared" si="173"/>
        <v>164.80078124999909</v>
      </c>
      <c r="X141" s="659">
        <f t="shared" si="154"/>
        <v>2.4999999999999866E-2</v>
      </c>
      <c r="Y141" s="663">
        <f t="shared" si="174"/>
        <v>469.58203124999818</v>
      </c>
      <c r="Z141" s="659">
        <f t="shared" si="155"/>
        <v>7.4687984611713901E-2</v>
      </c>
      <c r="AA141" s="658">
        <f t="shared" si="175"/>
        <v>168.92080078124945</v>
      </c>
      <c r="AB141" s="660">
        <f t="shared" si="156"/>
        <v>2.4999999999999925E-2</v>
      </c>
      <c r="AC141" s="663">
        <f t="shared" si="176"/>
        <v>638.50283203124764</v>
      </c>
      <c r="AD141" s="664">
        <f t="shared" si="157"/>
        <v>0.10155518422700666</v>
      </c>
      <c r="AE141" s="252">
        <v>1250000</v>
      </c>
      <c r="AF141" s="38"/>
      <c r="AG141" s="38"/>
      <c r="AH141" s="252">
        <v>1250000</v>
      </c>
      <c r="AI141" s="658">
        <f t="shared" si="177"/>
        <v>173.1438208007803</v>
      </c>
      <c r="AJ141" s="659">
        <f t="shared" si="158"/>
        <v>2.4999999999999873E-2</v>
      </c>
      <c r="AK141" s="663">
        <f t="shared" si="159"/>
        <v>811.64665283202794</v>
      </c>
      <c r="AL141" s="659">
        <f t="shared" si="160"/>
        <v>0.12909406383268168</v>
      </c>
      <c r="AM141" s="658" t="str">
        <f t="shared" si="178"/>
        <v/>
      </c>
      <c r="AN141" s="660" t="str">
        <f t="shared" si="161"/>
        <v/>
      </c>
      <c r="AO141" s="661" t="str">
        <f t="shared" si="162"/>
        <v/>
      </c>
      <c r="AP141" s="662" t="str">
        <f t="shared" si="163"/>
        <v/>
      </c>
      <c r="AQ141" s="661" t="str">
        <f t="shared" si="179"/>
        <v/>
      </c>
      <c r="AR141" s="660" t="str">
        <f t="shared" si="164"/>
        <v/>
      </c>
      <c r="AS141" s="661" t="str">
        <f t="shared" si="165"/>
        <v/>
      </c>
      <c r="AT141" s="664" t="str">
        <f t="shared" si="166"/>
        <v/>
      </c>
      <c r="AU141" s="304"/>
    </row>
    <row r="142" spans="1:47" ht="13.2" x14ac:dyDescent="0.25">
      <c r="A142" s="26"/>
      <c r="B142" s="38"/>
      <c r="C142" s="570" t="s">
        <v>291</v>
      </c>
      <c r="D142" s="684">
        <f t="shared" si="167"/>
        <v>7</v>
      </c>
      <c r="E142" s="237">
        <v>1750000</v>
      </c>
      <c r="F142" s="23">
        <f t="shared" si="168"/>
        <v>8647.75</v>
      </c>
      <c r="G142" s="23">
        <f t="shared" si="169"/>
        <v>8845.75</v>
      </c>
      <c r="H142" s="23">
        <f t="shared" si="180"/>
        <v>9066.8937499999993</v>
      </c>
      <c r="I142" s="23">
        <f t="shared" si="180"/>
        <v>9293.5660937499979</v>
      </c>
      <c r="J142" s="23">
        <f t="shared" si="180"/>
        <v>9525.9052460937473</v>
      </c>
      <c r="K142" s="23">
        <f t="shared" si="180"/>
        <v>9764.0528772460893</v>
      </c>
      <c r="L142" s="23"/>
      <c r="M142" s="571"/>
      <c r="N142" s="38"/>
      <c r="O142" s="38"/>
      <c r="P142" s="236">
        <v>1750000</v>
      </c>
      <c r="Q142" s="658">
        <f t="shared" si="170"/>
        <v>198</v>
      </c>
      <c r="R142" s="659">
        <f t="shared" si="151"/>
        <v>2.2896129050909195E-2</v>
      </c>
      <c r="S142" s="658">
        <f t="shared" si="171"/>
        <v>221.14374999999927</v>
      </c>
      <c r="T142" s="660">
        <f t="shared" si="152"/>
        <v>2.4999999999999918E-2</v>
      </c>
      <c r="U142" s="661">
        <f t="shared" si="172"/>
        <v>419.14374999999927</v>
      </c>
      <c r="V142" s="662">
        <f t="shared" si="153"/>
        <v>4.8468532277181842E-2</v>
      </c>
      <c r="W142" s="661">
        <f t="shared" si="173"/>
        <v>226.67234374999862</v>
      </c>
      <c r="X142" s="659">
        <f t="shared" si="154"/>
        <v>2.4999999999999849E-2</v>
      </c>
      <c r="Y142" s="663">
        <f t="shared" si="174"/>
        <v>645.81609374999789</v>
      </c>
      <c r="Z142" s="659">
        <f t="shared" si="155"/>
        <v>7.4680245584111224E-2</v>
      </c>
      <c r="AA142" s="658">
        <f t="shared" si="175"/>
        <v>232.33915234374945</v>
      </c>
      <c r="AB142" s="660">
        <f t="shared" si="156"/>
        <v>2.4999999999999946E-2</v>
      </c>
      <c r="AC142" s="663">
        <f t="shared" si="176"/>
        <v>878.15524609374734</v>
      </c>
      <c r="AD142" s="664">
        <f t="shared" si="157"/>
        <v>0.10154725172371395</v>
      </c>
      <c r="AE142" s="252">
        <v>1750000</v>
      </c>
      <c r="AF142" s="38"/>
      <c r="AG142" s="38"/>
      <c r="AH142" s="252">
        <v>1750000</v>
      </c>
      <c r="AI142" s="658">
        <f t="shared" si="177"/>
        <v>238.147631152342</v>
      </c>
      <c r="AJ142" s="659">
        <f t="shared" si="158"/>
        <v>2.4999999999999824E-2</v>
      </c>
      <c r="AK142" s="663">
        <f t="shared" si="159"/>
        <v>1116.3028772460893</v>
      </c>
      <c r="AL142" s="659">
        <f t="shared" si="160"/>
        <v>0.1290859330168066</v>
      </c>
      <c r="AM142" s="658" t="str">
        <f t="shared" si="178"/>
        <v/>
      </c>
      <c r="AN142" s="660" t="str">
        <f t="shared" si="161"/>
        <v/>
      </c>
      <c r="AO142" s="661" t="str">
        <f t="shared" si="162"/>
        <v/>
      </c>
      <c r="AP142" s="662" t="str">
        <f t="shared" si="163"/>
        <v/>
      </c>
      <c r="AQ142" s="661" t="str">
        <f t="shared" si="179"/>
        <v/>
      </c>
      <c r="AR142" s="660" t="str">
        <f t="shared" si="164"/>
        <v/>
      </c>
      <c r="AS142" s="661" t="str">
        <f t="shared" si="165"/>
        <v/>
      </c>
      <c r="AT142" s="664" t="str">
        <f t="shared" si="166"/>
        <v/>
      </c>
      <c r="AU142" s="304"/>
    </row>
    <row r="143" spans="1:47" ht="13.2" x14ac:dyDescent="0.25">
      <c r="A143" s="26"/>
      <c r="B143" s="38"/>
      <c r="C143" s="570" t="s">
        <v>292</v>
      </c>
      <c r="D143" s="684">
        <f t="shared" si="167"/>
        <v>1</v>
      </c>
      <c r="E143" s="237">
        <v>2500000</v>
      </c>
      <c r="F143" s="23">
        <f t="shared" si="168"/>
        <v>12188.5</v>
      </c>
      <c r="G143" s="23">
        <f t="shared" si="169"/>
        <v>12467.5</v>
      </c>
      <c r="H143" s="23">
        <f t="shared" si="180"/>
        <v>12779.187499999998</v>
      </c>
      <c r="I143" s="23">
        <f t="shared" si="180"/>
        <v>13098.667187499997</v>
      </c>
      <c r="J143" s="23">
        <f t="shared" si="180"/>
        <v>13426.133867187496</v>
      </c>
      <c r="K143" s="23">
        <f t="shared" si="180"/>
        <v>13761.787213867183</v>
      </c>
      <c r="L143" s="23"/>
      <c r="M143" s="571"/>
      <c r="N143" s="38"/>
      <c r="O143" s="38"/>
      <c r="P143" s="236">
        <v>2500000</v>
      </c>
      <c r="Q143" s="658">
        <f t="shared" si="170"/>
        <v>279</v>
      </c>
      <c r="R143" s="659">
        <f t="shared" si="151"/>
        <v>2.2890429503220247E-2</v>
      </c>
      <c r="S143" s="658">
        <f t="shared" si="171"/>
        <v>311.68749999999818</v>
      </c>
      <c r="T143" s="660">
        <f t="shared" si="152"/>
        <v>2.4999999999999856E-2</v>
      </c>
      <c r="U143" s="661">
        <f t="shared" si="172"/>
        <v>590.68749999999818</v>
      </c>
      <c r="V143" s="662">
        <f t="shared" si="153"/>
        <v>4.8462690240800604E-2</v>
      </c>
      <c r="W143" s="661">
        <f t="shared" si="173"/>
        <v>319.47968749999927</v>
      </c>
      <c r="X143" s="659">
        <f t="shared" si="154"/>
        <v>2.4999999999999946E-2</v>
      </c>
      <c r="Y143" s="663">
        <f t="shared" si="174"/>
        <v>910.16718749999745</v>
      </c>
      <c r="Z143" s="659">
        <f t="shared" si="155"/>
        <v>7.4674257496820565E-2</v>
      </c>
      <c r="AA143" s="658">
        <f t="shared" si="175"/>
        <v>327.46667968749898</v>
      </c>
      <c r="AB143" s="660">
        <f t="shared" si="156"/>
        <v>2.4999999999999929E-2</v>
      </c>
      <c r="AC143" s="663">
        <f t="shared" si="176"/>
        <v>1237.6338671874964</v>
      </c>
      <c r="AD143" s="664">
        <f t="shared" si="157"/>
        <v>0.10154111393424101</v>
      </c>
      <c r="AE143" s="252">
        <v>2500000</v>
      </c>
      <c r="AF143" s="38"/>
      <c r="AG143" s="38"/>
      <c r="AH143" s="252">
        <v>2500000</v>
      </c>
      <c r="AI143" s="658">
        <f t="shared" si="177"/>
        <v>335.65334667968636</v>
      </c>
      <c r="AJ143" s="659">
        <f t="shared" si="158"/>
        <v>2.4999999999999922E-2</v>
      </c>
      <c r="AK143" s="663">
        <f t="shared" si="159"/>
        <v>1573.2872138671828</v>
      </c>
      <c r="AL143" s="659">
        <f t="shared" si="160"/>
        <v>0.12907964178259693</v>
      </c>
      <c r="AM143" s="658" t="str">
        <f t="shared" si="178"/>
        <v/>
      </c>
      <c r="AN143" s="660" t="str">
        <f t="shared" si="161"/>
        <v/>
      </c>
      <c r="AO143" s="661" t="str">
        <f t="shared" si="162"/>
        <v/>
      </c>
      <c r="AP143" s="662" t="str">
        <f t="shared" si="163"/>
        <v/>
      </c>
      <c r="AQ143" s="661" t="str">
        <f t="shared" si="179"/>
        <v/>
      </c>
      <c r="AR143" s="660" t="str">
        <f t="shared" si="164"/>
        <v/>
      </c>
      <c r="AS143" s="661" t="str">
        <f t="shared" si="165"/>
        <v/>
      </c>
      <c r="AT143" s="664" t="str">
        <f t="shared" si="166"/>
        <v/>
      </c>
      <c r="AU143" s="304"/>
    </row>
    <row r="144" spans="1:47" ht="13.8" thickBot="1" x14ac:dyDescent="0.3">
      <c r="A144" s="26"/>
      <c r="B144" s="38"/>
      <c r="C144" s="563" t="s">
        <v>15</v>
      </c>
      <c r="D144" s="685">
        <f t="shared" si="167"/>
        <v>1</v>
      </c>
      <c r="E144" s="240">
        <v>3000000</v>
      </c>
      <c r="F144" s="23">
        <f t="shared" si="168"/>
        <v>14549</v>
      </c>
      <c r="G144" s="23">
        <f t="shared" si="169"/>
        <v>14882</v>
      </c>
      <c r="H144" s="23">
        <f t="shared" si="180"/>
        <v>15254.05</v>
      </c>
      <c r="I144" s="23">
        <f t="shared" si="180"/>
        <v>15635.401249999997</v>
      </c>
      <c r="J144" s="23">
        <f t="shared" si="180"/>
        <v>16026.286281249995</v>
      </c>
      <c r="K144" s="23">
        <f t="shared" si="180"/>
        <v>16426.943438281243</v>
      </c>
      <c r="L144" s="574"/>
      <c r="M144" s="575"/>
      <c r="N144" s="38"/>
      <c r="O144" s="38"/>
      <c r="P144" s="239">
        <v>3000000</v>
      </c>
      <c r="Q144" s="678">
        <f t="shared" si="170"/>
        <v>333</v>
      </c>
      <c r="R144" s="672">
        <f t="shared" si="151"/>
        <v>2.2888171008316721E-2</v>
      </c>
      <c r="S144" s="678">
        <f t="shared" si="171"/>
        <v>372.04999999999927</v>
      </c>
      <c r="T144" s="682">
        <f t="shared" si="152"/>
        <v>2.4999999999999953E-2</v>
      </c>
      <c r="U144" s="671">
        <f t="shared" si="172"/>
        <v>705.04999999999927</v>
      </c>
      <c r="V144" s="679">
        <f t="shared" si="153"/>
        <v>4.8460375283524593E-2</v>
      </c>
      <c r="W144" s="671">
        <f t="shared" si="173"/>
        <v>381.35124999999789</v>
      </c>
      <c r="X144" s="672">
        <f t="shared" si="154"/>
        <v>2.4999999999999863E-2</v>
      </c>
      <c r="Y144" s="673">
        <f t="shared" si="174"/>
        <v>1086.4012499999972</v>
      </c>
      <c r="Z144" s="672">
        <f t="shared" si="155"/>
        <v>7.4671884665612559E-2</v>
      </c>
      <c r="AA144" s="678">
        <f t="shared" si="175"/>
        <v>390.88503124999806</v>
      </c>
      <c r="AB144" s="682">
        <f t="shared" si="156"/>
        <v>2.499999999999988E-2</v>
      </c>
      <c r="AC144" s="673">
        <f t="shared" si="176"/>
        <v>1477.2862812499952</v>
      </c>
      <c r="AD144" s="674">
        <f t="shared" si="157"/>
        <v>0.10153868178225275</v>
      </c>
      <c r="AE144" s="253">
        <v>3000000</v>
      </c>
      <c r="AF144" s="307"/>
      <c r="AG144" s="38"/>
      <c r="AH144" s="254">
        <v>3000000</v>
      </c>
      <c r="AI144" s="665">
        <f t="shared" si="177"/>
        <v>400.65715703124806</v>
      </c>
      <c r="AJ144" s="666">
        <f t="shared" si="158"/>
        <v>2.4999999999999887E-2</v>
      </c>
      <c r="AK144" s="670">
        <f t="shared" si="159"/>
        <v>1877.9434382812433</v>
      </c>
      <c r="AL144" s="666">
        <f t="shared" si="160"/>
        <v>0.12907714882680893</v>
      </c>
      <c r="AM144" s="665" t="str">
        <f t="shared" si="178"/>
        <v/>
      </c>
      <c r="AN144" s="667" t="str">
        <f t="shared" si="161"/>
        <v/>
      </c>
      <c r="AO144" s="668" t="str">
        <f t="shared" si="162"/>
        <v/>
      </c>
      <c r="AP144" s="669" t="str">
        <f t="shared" si="163"/>
        <v/>
      </c>
      <c r="AQ144" s="668" t="str">
        <f t="shared" si="179"/>
        <v/>
      </c>
      <c r="AR144" s="667" t="str">
        <f t="shared" si="164"/>
        <v/>
      </c>
      <c r="AS144" s="668" t="str">
        <f t="shared" si="165"/>
        <v/>
      </c>
      <c r="AT144" s="675" t="str">
        <f t="shared" si="166"/>
        <v/>
      </c>
      <c r="AU144" s="304"/>
    </row>
    <row r="145" spans="1:47" ht="13.8" thickTop="1" x14ac:dyDescent="0.25">
      <c r="A145" s="26"/>
      <c r="B145" s="38"/>
      <c r="C145" s="302"/>
      <c r="D145" s="310"/>
      <c r="E145" s="243"/>
      <c r="F145" s="302"/>
      <c r="G145" s="302"/>
      <c r="H145" s="302"/>
      <c r="I145" s="302"/>
      <c r="J145" s="302"/>
      <c r="K145" s="302"/>
      <c r="L145" s="302"/>
      <c r="M145" s="302"/>
      <c r="N145" s="38"/>
      <c r="O145" s="38"/>
      <c r="P145" s="243"/>
      <c r="Q145" s="305"/>
      <c r="R145" s="306"/>
      <c r="S145" s="305"/>
      <c r="T145" s="306"/>
      <c r="U145" s="305"/>
      <c r="V145" s="306"/>
      <c r="W145" s="305"/>
      <c r="X145" s="306"/>
      <c r="Y145" s="305"/>
      <c r="Z145" s="306"/>
      <c r="AA145" s="305"/>
      <c r="AB145" s="306"/>
      <c r="AC145" s="305"/>
      <c r="AD145" s="306"/>
      <c r="AE145" s="243"/>
      <c r="AF145" s="38"/>
      <c r="AG145" s="38"/>
      <c r="AH145" s="243"/>
      <c r="AI145" s="303"/>
      <c r="AJ145" s="304"/>
      <c r="AK145" s="303"/>
      <c r="AL145" s="304"/>
      <c r="AM145" s="303"/>
      <c r="AN145" s="304"/>
      <c r="AO145" s="303"/>
      <c r="AP145" s="304"/>
      <c r="AQ145" s="303"/>
      <c r="AR145" s="304"/>
      <c r="AS145" s="303"/>
      <c r="AT145" s="304"/>
      <c r="AU145" s="304"/>
    </row>
    <row r="146" spans="1:47" x14ac:dyDescent="0.2">
      <c r="E146"/>
    </row>
    <row r="147" spans="1:47" x14ac:dyDescent="0.2">
      <c r="E147"/>
    </row>
    <row r="148" spans="1:47" x14ac:dyDescent="0.2">
      <c r="E148"/>
    </row>
    <row r="149" spans="1:47" x14ac:dyDescent="0.2">
      <c r="E149"/>
    </row>
    <row r="150" spans="1:47" x14ac:dyDescent="0.2">
      <c r="E150"/>
    </row>
    <row r="151" spans="1:47" x14ac:dyDescent="0.2">
      <c r="E151"/>
    </row>
    <row r="152" spans="1:47" x14ac:dyDescent="0.2">
      <c r="E152"/>
    </row>
    <row r="153" spans="1:47" x14ac:dyDescent="0.2">
      <c r="E153"/>
    </row>
    <row r="154" spans="1:47" x14ac:dyDescent="0.2">
      <c r="E154"/>
    </row>
    <row r="155" spans="1:47" x14ac:dyDescent="0.2">
      <c r="E155"/>
    </row>
    <row r="156" spans="1:47" x14ac:dyDescent="0.2">
      <c r="E156"/>
    </row>
    <row r="157" spans="1:47" x14ac:dyDescent="0.2">
      <c r="E157"/>
    </row>
    <row r="158" spans="1:47" x14ac:dyDescent="0.2">
      <c r="E158"/>
    </row>
    <row r="159" spans="1:47" x14ac:dyDescent="0.2">
      <c r="E159"/>
    </row>
    <row r="160" spans="1:47" x14ac:dyDescent="0.2">
      <c r="E160"/>
    </row>
    <row r="161" spans="5:5" x14ac:dyDescent="0.2">
      <c r="E161"/>
    </row>
    <row r="162" spans="5:5" x14ac:dyDescent="0.2">
      <c r="E162"/>
    </row>
    <row r="163" spans="5:5" x14ac:dyDescent="0.2">
      <c r="E163"/>
    </row>
    <row r="164" spans="5:5" x14ac:dyDescent="0.2">
      <c r="E164"/>
    </row>
    <row r="165" spans="5:5" x14ac:dyDescent="0.2">
      <c r="E165"/>
    </row>
    <row r="166" spans="5:5" x14ac:dyDescent="0.2">
      <c r="E166"/>
    </row>
    <row r="167" spans="5:5" x14ac:dyDescent="0.2">
      <c r="E167"/>
    </row>
    <row r="168" spans="5:5" x14ac:dyDescent="0.2">
      <c r="E168"/>
    </row>
    <row r="169" spans="5:5" x14ac:dyDescent="0.2">
      <c r="E169"/>
    </row>
    <row r="170" spans="5:5" x14ac:dyDescent="0.2">
      <c r="E170"/>
    </row>
    <row r="171" spans="5:5" x14ac:dyDescent="0.2">
      <c r="E171"/>
    </row>
    <row r="172" spans="5:5" x14ac:dyDescent="0.2">
      <c r="E172"/>
    </row>
    <row r="173" spans="5:5" x14ac:dyDescent="0.2">
      <c r="E173"/>
    </row>
    <row r="174" spans="5:5" x14ac:dyDescent="0.2">
      <c r="E174"/>
    </row>
    <row r="175" spans="5:5" x14ac:dyDescent="0.2">
      <c r="E175"/>
    </row>
    <row r="176" spans="5:5" x14ac:dyDescent="0.2">
      <c r="E176"/>
    </row>
    <row r="177" spans="5:5" x14ac:dyDescent="0.2">
      <c r="E177"/>
    </row>
    <row r="178" spans="5:5" x14ac:dyDescent="0.2">
      <c r="E178"/>
    </row>
    <row r="179" spans="5:5" x14ac:dyDescent="0.2">
      <c r="E179"/>
    </row>
    <row r="180" spans="5:5" x14ac:dyDescent="0.2">
      <c r="E180"/>
    </row>
    <row r="181" spans="5:5" x14ac:dyDescent="0.2">
      <c r="E181"/>
    </row>
    <row r="182" spans="5:5" x14ac:dyDescent="0.2">
      <c r="E182"/>
    </row>
    <row r="183" spans="5:5" x14ac:dyDescent="0.2">
      <c r="E183"/>
    </row>
    <row r="184" spans="5:5" x14ac:dyDescent="0.2">
      <c r="E184"/>
    </row>
    <row r="185" spans="5:5" x14ac:dyDescent="0.2">
      <c r="E185"/>
    </row>
    <row r="186" spans="5:5" x14ac:dyDescent="0.2">
      <c r="E186"/>
    </row>
    <row r="187" spans="5:5" x14ac:dyDescent="0.2">
      <c r="E187"/>
    </row>
    <row r="188" spans="5:5" x14ac:dyDescent="0.2">
      <c r="E188"/>
    </row>
    <row r="189" spans="5:5" x14ac:dyDescent="0.2">
      <c r="E189"/>
    </row>
    <row r="190" spans="5:5" x14ac:dyDescent="0.2">
      <c r="E190"/>
    </row>
    <row r="191" spans="5:5" x14ac:dyDescent="0.2">
      <c r="E191"/>
    </row>
    <row r="192" spans="5:5" x14ac:dyDescent="0.2">
      <c r="E192"/>
    </row>
    <row r="193" spans="5:5" x14ac:dyDescent="0.2">
      <c r="E193"/>
    </row>
    <row r="194" spans="5:5" x14ac:dyDescent="0.2">
      <c r="E194"/>
    </row>
    <row r="195" spans="5:5" x14ac:dyDescent="0.2">
      <c r="E195"/>
    </row>
    <row r="196" spans="5:5" x14ac:dyDescent="0.2">
      <c r="E196"/>
    </row>
    <row r="197" spans="5:5" x14ac:dyDescent="0.2">
      <c r="E197"/>
    </row>
    <row r="198" spans="5:5" x14ac:dyDescent="0.2">
      <c r="E198"/>
    </row>
    <row r="199" spans="5:5" x14ac:dyDescent="0.2">
      <c r="E199"/>
    </row>
    <row r="200" spans="5:5" x14ac:dyDescent="0.2">
      <c r="E200"/>
    </row>
    <row r="201" spans="5:5" x14ac:dyDescent="0.2">
      <c r="E201"/>
    </row>
    <row r="202" spans="5:5" x14ac:dyDescent="0.2">
      <c r="E202"/>
    </row>
    <row r="203" spans="5:5" x14ac:dyDescent="0.2">
      <c r="E203"/>
    </row>
    <row r="204" spans="5:5" x14ac:dyDescent="0.2">
      <c r="E204"/>
    </row>
    <row r="205" spans="5:5" x14ac:dyDescent="0.2">
      <c r="E205"/>
    </row>
    <row r="206" spans="5:5" x14ac:dyDescent="0.2">
      <c r="E206"/>
    </row>
    <row r="207" spans="5:5" x14ac:dyDescent="0.2">
      <c r="E207"/>
    </row>
    <row r="208" spans="5:5" x14ac:dyDescent="0.2">
      <c r="E208"/>
    </row>
    <row r="209" spans="5:5" x14ac:dyDescent="0.2">
      <c r="E209"/>
    </row>
    <row r="210" spans="5:5" x14ac:dyDescent="0.2">
      <c r="E210"/>
    </row>
    <row r="211" spans="5:5" x14ac:dyDescent="0.2">
      <c r="E211"/>
    </row>
    <row r="212" spans="5:5" x14ac:dyDescent="0.2">
      <c r="E212"/>
    </row>
    <row r="213" spans="5:5" x14ac:dyDescent="0.2">
      <c r="E213"/>
    </row>
    <row r="214" spans="5:5" x14ac:dyDescent="0.2">
      <c r="E214"/>
    </row>
    <row r="215" spans="5:5" x14ac:dyDescent="0.2">
      <c r="E215"/>
    </row>
    <row r="216" spans="5:5" x14ac:dyDescent="0.2">
      <c r="E216"/>
    </row>
    <row r="217" spans="5:5" x14ac:dyDescent="0.2">
      <c r="E217"/>
    </row>
    <row r="218" spans="5:5" x14ac:dyDescent="0.2">
      <c r="E218"/>
    </row>
    <row r="219" spans="5:5" x14ac:dyDescent="0.2">
      <c r="E219"/>
    </row>
    <row r="220" spans="5:5" x14ac:dyDescent="0.2">
      <c r="E220"/>
    </row>
    <row r="221" spans="5:5" x14ac:dyDescent="0.2">
      <c r="E221"/>
    </row>
    <row r="222" spans="5:5" x14ac:dyDescent="0.2">
      <c r="E222"/>
    </row>
    <row r="223" spans="5:5" x14ac:dyDescent="0.2">
      <c r="E223"/>
    </row>
    <row r="224" spans="5:5" x14ac:dyDescent="0.2">
      <c r="E224"/>
    </row>
    <row r="225" spans="5:5" x14ac:dyDescent="0.2">
      <c r="E225"/>
    </row>
    <row r="226" spans="5:5" x14ac:dyDescent="0.2">
      <c r="E226"/>
    </row>
    <row r="227" spans="5:5" x14ac:dyDescent="0.2">
      <c r="E227"/>
    </row>
    <row r="228" spans="5:5" x14ac:dyDescent="0.2">
      <c r="E228"/>
    </row>
    <row r="229" spans="5:5" x14ac:dyDescent="0.2">
      <c r="E229"/>
    </row>
    <row r="230" spans="5:5" x14ac:dyDescent="0.2">
      <c r="E230"/>
    </row>
    <row r="231" spans="5:5" x14ac:dyDescent="0.2">
      <c r="E231"/>
    </row>
    <row r="232" spans="5:5" x14ac:dyDescent="0.2">
      <c r="E232"/>
    </row>
    <row r="233" spans="5:5" x14ac:dyDescent="0.2">
      <c r="E233"/>
    </row>
    <row r="234" spans="5:5" x14ac:dyDescent="0.2">
      <c r="E234"/>
    </row>
    <row r="235" spans="5:5" x14ac:dyDescent="0.2">
      <c r="E235"/>
    </row>
    <row r="236" spans="5:5" x14ac:dyDescent="0.2">
      <c r="E236"/>
    </row>
    <row r="237" spans="5:5" x14ac:dyDescent="0.2">
      <c r="E237"/>
    </row>
    <row r="238" spans="5:5" x14ac:dyDescent="0.2">
      <c r="E238"/>
    </row>
    <row r="239" spans="5:5" x14ac:dyDescent="0.2">
      <c r="E239"/>
    </row>
    <row r="240" spans="5:5" x14ac:dyDescent="0.2">
      <c r="E240"/>
    </row>
    <row r="241" spans="5:5" x14ac:dyDescent="0.2">
      <c r="E241"/>
    </row>
    <row r="242" spans="5:5" x14ac:dyDescent="0.2">
      <c r="E242"/>
    </row>
    <row r="243" spans="5:5" x14ac:dyDescent="0.2">
      <c r="E243"/>
    </row>
    <row r="244" spans="5:5" x14ac:dyDescent="0.2">
      <c r="E244"/>
    </row>
    <row r="245" spans="5:5" x14ac:dyDescent="0.2">
      <c r="E245"/>
    </row>
    <row r="246" spans="5:5" x14ac:dyDescent="0.2">
      <c r="E246"/>
    </row>
    <row r="247" spans="5:5" x14ac:dyDescent="0.2">
      <c r="E247"/>
    </row>
    <row r="248" spans="5:5" x14ac:dyDescent="0.2">
      <c r="E248"/>
    </row>
    <row r="249" spans="5:5" x14ac:dyDescent="0.2">
      <c r="E249"/>
    </row>
    <row r="250" spans="5:5" x14ac:dyDescent="0.2">
      <c r="E250"/>
    </row>
    <row r="251" spans="5:5" x14ac:dyDescent="0.2">
      <c r="E251"/>
    </row>
    <row r="252" spans="5:5" x14ac:dyDescent="0.2">
      <c r="E252"/>
    </row>
    <row r="253" spans="5:5" x14ac:dyDescent="0.2">
      <c r="E253"/>
    </row>
    <row r="254" spans="5:5" x14ac:dyDescent="0.2">
      <c r="E254"/>
    </row>
    <row r="255" spans="5:5" x14ac:dyDescent="0.2">
      <c r="E255"/>
    </row>
    <row r="256" spans="5:5" x14ac:dyDescent="0.2">
      <c r="E256"/>
    </row>
    <row r="257" spans="5:5" x14ac:dyDescent="0.2">
      <c r="E257"/>
    </row>
    <row r="258" spans="5:5" x14ac:dyDescent="0.2">
      <c r="E258"/>
    </row>
    <row r="259" spans="5:5" x14ac:dyDescent="0.2">
      <c r="E259"/>
    </row>
    <row r="260" spans="5:5" x14ac:dyDescent="0.2">
      <c r="E260"/>
    </row>
    <row r="261" spans="5:5" x14ac:dyDescent="0.2">
      <c r="E261"/>
    </row>
    <row r="262" spans="5:5" x14ac:dyDescent="0.2">
      <c r="E262"/>
    </row>
    <row r="263" spans="5:5" x14ac:dyDescent="0.2">
      <c r="E263"/>
    </row>
    <row r="264" spans="5:5" x14ac:dyDescent="0.2">
      <c r="E264"/>
    </row>
    <row r="265" spans="5:5" x14ac:dyDescent="0.2">
      <c r="E265"/>
    </row>
    <row r="266" spans="5:5" x14ac:dyDescent="0.2">
      <c r="E266"/>
    </row>
    <row r="267" spans="5:5" x14ac:dyDescent="0.2">
      <c r="E267"/>
    </row>
    <row r="268" spans="5:5" x14ac:dyDescent="0.2">
      <c r="E268"/>
    </row>
    <row r="269" spans="5:5" x14ac:dyDescent="0.2">
      <c r="E269"/>
    </row>
    <row r="270" spans="5:5" x14ac:dyDescent="0.2">
      <c r="E270"/>
    </row>
    <row r="271" spans="5:5" x14ac:dyDescent="0.2">
      <c r="E271"/>
    </row>
    <row r="272" spans="5:5" x14ac:dyDescent="0.2">
      <c r="E272"/>
    </row>
    <row r="273" spans="5:5" x14ac:dyDescent="0.2">
      <c r="E273"/>
    </row>
    <row r="274" spans="5:5" x14ac:dyDescent="0.2">
      <c r="E274"/>
    </row>
    <row r="275" spans="5:5" x14ac:dyDescent="0.2">
      <c r="E275"/>
    </row>
    <row r="276" spans="5:5" x14ac:dyDescent="0.2">
      <c r="E276"/>
    </row>
    <row r="277" spans="5:5" x14ac:dyDescent="0.2">
      <c r="E277"/>
    </row>
    <row r="278" spans="5:5" x14ac:dyDescent="0.2">
      <c r="E278"/>
    </row>
    <row r="279" spans="5:5" x14ac:dyDescent="0.2">
      <c r="E279"/>
    </row>
    <row r="280" spans="5:5" x14ac:dyDescent="0.2">
      <c r="E280"/>
    </row>
    <row r="281" spans="5:5" x14ac:dyDescent="0.2">
      <c r="E281"/>
    </row>
    <row r="282" spans="5:5" x14ac:dyDescent="0.2">
      <c r="E282"/>
    </row>
    <row r="283" spans="5:5" x14ac:dyDescent="0.2">
      <c r="E283"/>
    </row>
    <row r="284" spans="5:5" x14ac:dyDescent="0.2">
      <c r="E284"/>
    </row>
    <row r="285" spans="5:5" x14ac:dyDescent="0.2">
      <c r="E285"/>
    </row>
    <row r="286" spans="5:5" x14ac:dyDescent="0.2">
      <c r="E286"/>
    </row>
    <row r="287" spans="5:5" x14ac:dyDescent="0.2">
      <c r="E287"/>
    </row>
    <row r="288" spans="5:5" x14ac:dyDescent="0.2">
      <c r="E288"/>
    </row>
    <row r="289" spans="5:5" x14ac:dyDescent="0.2">
      <c r="E289"/>
    </row>
    <row r="290" spans="5:5" x14ac:dyDescent="0.2">
      <c r="E290"/>
    </row>
    <row r="291" spans="5:5" x14ac:dyDescent="0.2">
      <c r="E291"/>
    </row>
    <row r="292" spans="5:5" x14ac:dyDescent="0.2">
      <c r="E292"/>
    </row>
    <row r="293" spans="5:5" x14ac:dyDescent="0.2">
      <c r="E293"/>
    </row>
    <row r="294" spans="5:5" x14ac:dyDescent="0.2">
      <c r="E294"/>
    </row>
    <row r="295" spans="5:5" x14ac:dyDescent="0.2">
      <c r="E295"/>
    </row>
    <row r="296" spans="5:5" x14ac:dyDescent="0.2">
      <c r="E296"/>
    </row>
    <row r="297" spans="5:5" x14ac:dyDescent="0.2">
      <c r="E297"/>
    </row>
    <row r="298" spans="5:5" x14ac:dyDescent="0.2">
      <c r="E298"/>
    </row>
    <row r="299" spans="5:5" x14ac:dyDescent="0.2">
      <c r="E299"/>
    </row>
    <row r="300" spans="5:5" x14ac:dyDescent="0.2">
      <c r="E300"/>
    </row>
    <row r="301" spans="5:5" x14ac:dyDescent="0.2">
      <c r="E301"/>
    </row>
    <row r="302" spans="5:5" x14ac:dyDescent="0.2">
      <c r="E302"/>
    </row>
    <row r="303" spans="5:5" x14ac:dyDescent="0.2">
      <c r="E303"/>
    </row>
    <row r="304" spans="5:5" x14ac:dyDescent="0.2">
      <c r="E304"/>
    </row>
    <row r="305" spans="5:5" x14ac:dyDescent="0.2">
      <c r="E305"/>
    </row>
    <row r="306" spans="5:5" x14ac:dyDescent="0.2">
      <c r="E306"/>
    </row>
    <row r="307" spans="5:5" x14ac:dyDescent="0.2">
      <c r="E307"/>
    </row>
    <row r="308" spans="5:5" x14ac:dyDescent="0.2">
      <c r="E308"/>
    </row>
    <row r="309" spans="5:5" x14ac:dyDescent="0.2">
      <c r="E309"/>
    </row>
    <row r="310" spans="5:5" x14ac:dyDescent="0.2">
      <c r="E310"/>
    </row>
    <row r="311" spans="5:5" x14ac:dyDescent="0.2">
      <c r="E311"/>
    </row>
    <row r="312" spans="5:5" x14ac:dyDescent="0.2">
      <c r="E312"/>
    </row>
    <row r="313" spans="5:5" x14ac:dyDescent="0.2">
      <c r="E313"/>
    </row>
    <row r="314" spans="5:5" x14ac:dyDescent="0.2">
      <c r="E314"/>
    </row>
    <row r="315" spans="5:5" x14ac:dyDescent="0.2">
      <c r="E315"/>
    </row>
    <row r="316" spans="5:5" x14ac:dyDescent="0.2">
      <c r="E316"/>
    </row>
    <row r="317" spans="5:5" x14ac:dyDescent="0.2">
      <c r="E317"/>
    </row>
    <row r="318" spans="5:5" x14ac:dyDescent="0.2">
      <c r="E318"/>
    </row>
    <row r="319" spans="5:5" x14ac:dyDescent="0.2">
      <c r="E319"/>
    </row>
    <row r="320" spans="5:5" x14ac:dyDescent="0.2">
      <c r="E320"/>
    </row>
    <row r="321" spans="5:5" x14ac:dyDescent="0.2">
      <c r="E321"/>
    </row>
    <row r="322" spans="5:5" x14ac:dyDescent="0.2">
      <c r="E322"/>
    </row>
    <row r="323" spans="5:5" x14ac:dyDescent="0.2">
      <c r="E323"/>
    </row>
    <row r="324" spans="5:5" x14ac:dyDescent="0.2">
      <c r="E324"/>
    </row>
    <row r="325" spans="5:5" x14ac:dyDescent="0.2">
      <c r="E325"/>
    </row>
    <row r="326" spans="5:5" x14ac:dyDescent="0.2">
      <c r="E326"/>
    </row>
    <row r="327" spans="5:5" x14ac:dyDescent="0.2">
      <c r="E327"/>
    </row>
    <row r="328" spans="5:5" x14ac:dyDescent="0.2">
      <c r="E328"/>
    </row>
    <row r="329" spans="5:5" x14ac:dyDescent="0.2">
      <c r="E329"/>
    </row>
    <row r="330" spans="5:5" x14ac:dyDescent="0.2">
      <c r="E330"/>
    </row>
    <row r="331" spans="5:5" x14ac:dyDescent="0.2">
      <c r="E331"/>
    </row>
    <row r="332" spans="5:5" x14ac:dyDescent="0.2">
      <c r="E332"/>
    </row>
    <row r="333" spans="5:5" x14ac:dyDescent="0.2">
      <c r="E333"/>
    </row>
    <row r="334" spans="5:5" x14ac:dyDescent="0.2">
      <c r="E334"/>
    </row>
    <row r="335" spans="5:5" x14ac:dyDescent="0.2">
      <c r="E335"/>
    </row>
    <row r="336" spans="5:5" x14ac:dyDescent="0.2">
      <c r="E336"/>
    </row>
    <row r="337" spans="5:5" x14ac:dyDescent="0.2">
      <c r="E337"/>
    </row>
    <row r="338" spans="5:5" x14ac:dyDescent="0.2">
      <c r="E338"/>
    </row>
    <row r="339" spans="5:5" x14ac:dyDescent="0.2">
      <c r="E339"/>
    </row>
    <row r="340" spans="5:5" x14ac:dyDescent="0.2">
      <c r="E340"/>
    </row>
    <row r="341" spans="5:5" x14ac:dyDescent="0.2">
      <c r="E341"/>
    </row>
    <row r="342" spans="5:5" x14ac:dyDescent="0.2">
      <c r="E342"/>
    </row>
    <row r="343" spans="5:5" x14ac:dyDescent="0.2">
      <c r="E343"/>
    </row>
    <row r="344" spans="5:5" x14ac:dyDescent="0.2">
      <c r="E344"/>
    </row>
    <row r="345" spans="5:5" x14ac:dyDescent="0.2">
      <c r="E345"/>
    </row>
    <row r="346" spans="5:5" x14ac:dyDescent="0.2">
      <c r="E346"/>
    </row>
    <row r="347" spans="5:5" x14ac:dyDescent="0.2">
      <c r="E347"/>
    </row>
    <row r="348" spans="5:5" x14ac:dyDescent="0.2">
      <c r="E348"/>
    </row>
    <row r="349" spans="5:5" x14ac:dyDescent="0.2">
      <c r="E349"/>
    </row>
    <row r="350" spans="5:5" x14ac:dyDescent="0.2">
      <c r="E350"/>
    </row>
    <row r="351" spans="5:5" x14ac:dyDescent="0.2">
      <c r="E351"/>
    </row>
    <row r="352" spans="5:5" x14ac:dyDescent="0.2">
      <c r="E352"/>
    </row>
    <row r="353" spans="5:5" x14ac:dyDescent="0.2">
      <c r="E353"/>
    </row>
    <row r="354" spans="5:5" x14ac:dyDescent="0.2">
      <c r="E354"/>
    </row>
    <row r="355" spans="5:5" x14ac:dyDescent="0.2">
      <c r="E355"/>
    </row>
    <row r="356" spans="5:5" x14ac:dyDescent="0.2">
      <c r="E356"/>
    </row>
    <row r="357" spans="5:5" x14ac:dyDescent="0.2">
      <c r="E357"/>
    </row>
    <row r="358" spans="5:5" x14ac:dyDescent="0.2">
      <c r="E358"/>
    </row>
    <row r="359" spans="5:5" x14ac:dyDescent="0.2">
      <c r="E359"/>
    </row>
    <row r="360" spans="5:5" x14ac:dyDescent="0.2">
      <c r="E360"/>
    </row>
    <row r="361" spans="5:5" x14ac:dyDescent="0.2">
      <c r="E361"/>
    </row>
    <row r="362" spans="5:5" x14ac:dyDescent="0.2">
      <c r="E362"/>
    </row>
    <row r="363" spans="5:5" x14ac:dyDescent="0.2">
      <c r="E363"/>
    </row>
    <row r="364" spans="5:5" x14ac:dyDescent="0.2">
      <c r="E364"/>
    </row>
    <row r="365" spans="5:5" x14ac:dyDescent="0.2">
      <c r="E365"/>
    </row>
    <row r="366" spans="5:5" x14ac:dyDescent="0.2">
      <c r="E366"/>
    </row>
    <row r="367" spans="5:5" x14ac:dyDescent="0.2">
      <c r="E367"/>
    </row>
    <row r="368" spans="5:5" x14ac:dyDescent="0.2">
      <c r="E368"/>
    </row>
    <row r="369" spans="5:5" x14ac:dyDescent="0.2">
      <c r="E369"/>
    </row>
    <row r="370" spans="5:5" x14ac:dyDescent="0.2">
      <c r="E370"/>
    </row>
    <row r="371" spans="5:5" x14ac:dyDescent="0.2">
      <c r="E371"/>
    </row>
    <row r="372" spans="5:5" x14ac:dyDescent="0.2">
      <c r="E372"/>
    </row>
    <row r="373" spans="5:5" x14ac:dyDescent="0.2">
      <c r="E373"/>
    </row>
    <row r="374" spans="5:5" x14ac:dyDescent="0.2">
      <c r="E374"/>
    </row>
    <row r="375" spans="5:5" x14ac:dyDescent="0.2">
      <c r="E375"/>
    </row>
    <row r="376" spans="5:5" x14ac:dyDescent="0.2">
      <c r="E376"/>
    </row>
    <row r="377" spans="5:5" x14ac:dyDescent="0.2">
      <c r="E377"/>
    </row>
    <row r="378" spans="5:5" x14ac:dyDescent="0.2">
      <c r="E378"/>
    </row>
    <row r="379" spans="5:5" x14ac:dyDescent="0.2">
      <c r="E379"/>
    </row>
    <row r="380" spans="5:5" x14ac:dyDescent="0.2">
      <c r="E380"/>
    </row>
    <row r="381" spans="5:5" x14ac:dyDescent="0.2">
      <c r="E381"/>
    </row>
    <row r="382" spans="5:5" x14ac:dyDescent="0.2">
      <c r="E382"/>
    </row>
    <row r="383" spans="5:5" x14ac:dyDescent="0.2">
      <c r="E383"/>
    </row>
    <row r="384" spans="5:5" x14ac:dyDescent="0.2">
      <c r="E384"/>
    </row>
    <row r="385" spans="5:5" x14ac:dyDescent="0.2">
      <c r="E385"/>
    </row>
    <row r="386" spans="5:5" x14ac:dyDescent="0.2">
      <c r="E386"/>
    </row>
    <row r="387" spans="5:5" x14ac:dyDescent="0.2">
      <c r="E387"/>
    </row>
    <row r="388" spans="5:5" x14ac:dyDescent="0.2">
      <c r="E388"/>
    </row>
    <row r="389" spans="5:5" x14ac:dyDescent="0.2">
      <c r="E389"/>
    </row>
    <row r="390" spans="5:5" x14ac:dyDescent="0.2">
      <c r="E390"/>
    </row>
    <row r="391" spans="5:5" x14ac:dyDescent="0.2">
      <c r="E391"/>
    </row>
    <row r="392" spans="5:5" x14ac:dyDescent="0.2">
      <c r="E392"/>
    </row>
    <row r="393" spans="5:5" x14ac:dyDescent="0.2">
      <c r="E393"/>
    </row>
    <row r="394" spans="5:5" x14ac:dyDescent="0.2">
      <c r="E394"/>
    </row>
    <row r="395" spans="5:5" x14ac:dyDescent="0.2">
      <c r="E395"/>
    </row>
    <row r="396" spans="5:5" x14ac:dyDescent="0.2">
      <c r="E396"/>
    </row>
    <row r="397" spans="5:5" x14ac:dyDescent="0.2">
      <c r="E397"/>
    </row>
    <row r="398" spans="5:5" x14ac:dyDescent="0.2">
      <c r="E398"/>
    </row>
    <row r="399" spans="5:5" x14ac:dyDescent="0.2">
      <c r="E399"/>
    </row>
    <row r="400" spans="5:5" x14ac:dyDescent="0.2">
      <c r="E400"/>
    </row>
    <row r="401" spans="5:5" x14ac:dyDescent="0.2">
      <c r="E401"/>
    </row>
    <row r="402" spans="5:5" x14ac:dyDescent="0.2">
      <c r="E402"/>
    </row>
    <row r="403" spans="5:5" x14ac:dyDescent="0.2">
      <c r="E403"/>
    </row>
    <row r="404" spans="5:5" x14ac:dyDescent="0.2">
      <c r="E404"/>
    </row>
    <row r="405" spans="5:5" x14ac:dyDescent="0.2">
      <c r="E405"/>
    </row>
    <row r="406" spans="5:5" x14ac:dyDescent="0.2">
      <c r="E406"/>
    </row>
    <row r="407" spans="5:5" x14ac:dyDescent="0.2">
      <c r="E407"/>
    </row>
    <row r="408" spans="5:5" x14ac:dyDescent="0.2">
      <c r="E408"/>
    </row>
    <row r="409" spans="5:5" x14ac:dyDescent="0.2">
      <c r="E409"/>
    </row>
    <row r="410" spans="5:5" x14ac:dyDescent="0.2">
      <c r="E410"/>
    </row>
    <row r="411" spans="5:5" x14ac:dyDescent="0.2">
      <c r="E411"/>
    </row>
    <row r="412" spans="5:5" x14ac:dyDescent="0.2">
      <c r="E412"/>
    </row>
    <row r="413" spans="5:5" x14ac:dyDescent="0.2">
      <c r="E413"/>
    </row>
    <row r="414" spans="5:5" x14ac:dyDescent="0.2">
      <c r="E414"/>
    </row>
    <row r="415" spans="5:5" x14ac:dyDescent="0.2">
      <c r="E415"/>
    </row>
    <row r="416" spans="5:5" x14ac:dyDescent="0.2">
      <c r="E416"/>
    </row>
    <row r="417" spans="5:5" x14ac:dyDescent="0.2">
      <c r="E417"/>
    </row>
    <row r="418" spans="5:5" x14ac:dyDescent="0.2">
      <c r="E418"/>
    </row>
    <row r="419" spans="5:5" x14ac:dyDescent="0.2">
      <c r="E419"/>
    </row>
    <row r="420" spans="5:5" x14ac:dyDescent="0.2">
      <c r="E420"/>
    </row>
    <row r="421" spans="5:5" x14ac:dyDescent="0.2">
      <c r="E421"/>
    </row>
    <row r="422" spans="5:5" x14ac:dyDescent="0.2">
      <c r="E422"/>
    </row>
    <row r="423" spans="5:5" x14ac:dyDescent="0.2">
      <c r="E423"/>
    </row>
    <row r="424" spans="5:5" x14ac:dyDescent="0.2">
      <c r="E424"/>
    </row>
    <row r="425" spans="5:5" x14ac:dyDescent="0.2">
      <c r="E425"/>
    </row>
    <row r="426" spans="5:5" x14ac:dyDescent="0.2">
      <c r="E426"/>
    </row>
    <row r="427" spans="5:5" x14ac:dyDescent="0.2">
      <c r="E427"/>
    </row>
    <row r="428" spans="5:5" x14ac:dyDescent="0.2">
      <c r="E428"/>
    </row>
    <row r="429" spans="5:5" x14ac:dyDescent="0.2">
      <c r="E429"/>
    </row>
    <row r="430" spans="5:5" x14ac:dyDescent="0.2">
      <c r="E430"/>
    </row>
    <row r="431" spans="5:5" x14ac:dyDescent="0.2">
      <c r="E431"/>
    </row>
    <row r="432" spans="5:5" x14ac:dyDescent="0.2">
      <c r="E432"/>
    </row>
    <row r="433" spans="5:5" x14ac:dyDescent="0.2">
      <c r="E433"/>
    </row>
    <row r="434" spans="5:5" x14ac:dyDescent="0.2">
      <c r="E434"/>
    </row>
    <row r="435" spans="5:5" x14ac:dyDescent="0.2">
      <c r="E435"/>
    </row>
    <row r="436" spans="5:5" x14ac:dyDescent="0.2">
      <c r="E436"/>
    </row>
    <row r="437" spans="5:5" x14ac:dyDescent="0.2">
      <c r="E437"/>
    </row>
    <row r="438" spans="5:5" x14ac:dyDescent="0.2">
      <c r="E438"/>
    </row>
    <row r="439" spans="5:5" x14ac:dyDescent="0.2">
      <c r="E439"/>
    </row>
    <row r="440" spans="5:5" x14ac:dyDescent="0.2">
      <c r="E440"/>
    </row>
    <row r="441" spans="5:5" x14ac:dyDescent="0.2">
      <c r="E441"/>
    </row>
    <row r="442" spans="5:5" x14ac:dyDescent="0.2">
      <c r="E442"/>
    </row>
    <row r="443" spans="5:5" x14ac:dyDescent="0.2">
      <c r="E443"/>
    </row>
    <row r="444" spans="5:5" x14ac:dyDescent="0.2">
      <c r="E444"/>
    </row>
    <row r="445" spans="5:5" x14ac:dyDescent="0.2">
      <c r="E445"/>
    </row>
    <row r="446" spans="5:5" x14ac:dyDescent="0.2">
      <c r="E446"/>
    </row>
    <row r="447" spans="5:5" x14ac:dyDescent="0.2">
      <c r="E447"/>
    </row>
    <row r="448" spans="5:5" x14ac:dyDescent="0.2">
      <c r="E448"/>
    </row>
    <row r="449" spans="5:5" x14ac:dyDescent="0.2">
      <c r="E449"/>
    </row>
    <row r="450" spans="5:5" x14ac:dyDescent="0.2">
      <c r="E450"/>
    </row>
    <row r="451" spans="5:5" x14ac:dyDescent="0.2">
      <c r="E451"/>
    </row>
    <row r="452" spans="5:5" x14ac:dyDescent="0.2">
      <c r="E452"/>
    </row>
    <row r="453" spans="5:5" x14ac:dyDescent="0.2">
      <c r="E453"/>
    </row>
    <row r="454" spans="5:5" x14ac:dyDescent="0.2">
      <c r="E454"/>
    </row>
    <row r="455" spans="5:5" x14ac:dyDescent="0.2">
      <c r="E455"/>
    </row>
    <row r="456" spans="5:5" x14ac:dyDescent="0.2">
      <c r="E456"/>
    </row>
    <row r="457" spans="5:5" x14ac:dyDescent="0.2">
      <c r="E457"/>
    </row>
  </sheetData>
  <sheetProtection password="CC77" sheet="1"/>
  <mergeCells count="75">
    <mergeCell ref="D88:D89"/>
    <mergeCell ref="D109:D110"/>
    <mergeCell ref="H67:M67"/>
    <mergeCell ref="H46:M46"/>
    <mergeCell ref="D129:D130"/>
    <mergeCell ref="H108:M108"/>
    <mergeCell ref="H87:M87"/>
    <mergeCell ref="Q108:AD108"/>
    <mergeCell ref="AI88:AL88"/>
    <mergeCell ref="W109:Z109"/>
    <mergeCell ref="AH108:AT108"/>
    <mergeCell ref="AA129:AD129"/>
    <mergeCell ref="AI109:AL109"/>
    <mergeCell ref="AM109:AP109"/>
    <mergeCell ref="AQ109:AT109"/>
    <mergeCell ref="Q109:R109"/>
    <mergeCell ref="S109:V109"/>
    <mergeCell ref="AH128:AT128"/>
    <mergeCell ref="AA109:AD109"/>
    <mergeCell ref="H128:M128"/>
    <mergeCell ref="AM88:AP88"/>
    <mergeCell ref="AQ88:AT88"/>
    <mergeCell ref="W88:Z88"/>
    <mergeCell ref="AA88:AD88"/>
    <mergeCell ref="Q88:R88"/>
    <mergeCell ref="S88:V88"/>
    <mergeCell ref="Q87:AD87"/>
    <mergeCell ref="AA68:AD68"/>
    <mergeCell ref="AQ27:AT27"/>
    <mergeCell ref="AM27:AP27"/>
    <mergeCell ref="AI27:AL27"/>
    <mergeCell ref="AI68:AL68"/>
    <mergeCell ref="AM68:AP68"/>
    <mergeCell ref="AQ68:AT68"/>
    <mergeCell ref="S68:V68"/>
    <mergeCell ref="AH67:AT67"/>
    <mergeCell ref="AH87:AT87"/>
    <mergeCell ref="Q68:R68"/>
    <mergeCell ref="Q67:AD67"/>
    <mergeCell ref="C19:L19"/>
    <mergeCell ref="D27:D28"/>
    <mergeCell ref="D47:D48"/>
    <mergeCell ref="W68:Z68"/>
    <mergeCell ref="D68:D69"/>
    <mergeCell ref="AH26:AT26"/>
    <mergeCell ref="Q26:AD26"/>
    <mergeCell ref="S27:V27"/>
    <mergeCell ref="AQ47:AT47"/>
    <mergeCell ref="Q46:AD46"/>
    <mergeCell ref="Q47:R47"/>
    <mergeCell ref="S47:V47"/>
    <mergeCell ref="W47:Z47"/>
    <mergeCell ref="AA47:AD47"/>
    <mergeCell ref="AI47:AL47"/>
    <mergeCell ref="AM47:AP47"/>
    <mergeCell ref="AH46:AT46"/>
    <mergeCell ref="AA27:AD27"/>
    <mergeCell ref="W27:Z27"/>
    <mergeCell ref="Q27:R27"/>
    <mergeCell ref="C2:I2"/>
    <mergeCell ref="C4:M4"/>
    <mergeCell ref="C8:M8"/>
    <mergeCell ref="H26:M26"/>
    <mergeCell ref="C9:M9"/>
    <mergeCell ref="C10:M10"/>
    <mergeCell ref="C12:M12"/>
    <mergeCell ref="C14:M14"/>
    <mergeCell ref="C17:M17"/>
    <mergeCell ref="Q128:AD128"/>
    <mergeCell ref="AI129:AL129"/>
    <mergeCell ref="AM129:AP129"/>
    <mergeCell ref="AQ129:AT129"/>
    <mergeCell ref="Q129:R129"/>
    <mergeCell ref="S129:V129"/>
    <mergeCell ref="W129:Z129"/>
  </mergeCells>
  <phoneticPr fontId="17" type="noConversion"/>
  <dataValidations xWindow="744" yWindow="758" count="50">
    <dataValidation allowBlank="1" showInputMessage="1" showErrorMessage="1" promptTitle="Number of property assessments" prompt="This is the estimated number of ordinary farmland property assessments with land valued between $0 and $99,999 in the first year of the special variation." sqref="D111 D132:D144"/>
    <dataValidation allowBlank="1" showInputMessage="1" showErrorMessage="1" promptTitle="Rate in Year 1 - with SV" prompt="This is the ordinary farmland rate for a land value of $50,000 in Year 1 of the application - with the proposed special variation." sqref="G111"/>
    <dataValidation allowBlank="1" showInputMessage="1" showErrorMessage="1" promptTitle="Current Rate" prompt="This is the ordinary farmland rate for a land value of $50,000 in Year 0 of the application, usually the current financial year." sqref="F111 F131"/>
    <dataValidation allowBlank="1" showInputMessage="1" showErrorMessage="1" promptTitle="Rate in Year 2 - with SV" prompt="This is the ordinary farmland rate for a land value of $50,000 in Year 2 of the application - with the proposed special variation." sqref="H111"/>
    <dataValidation allowBlank="1" showInputMessage="1" showErrorMessage="1" promptTitle="Rate in Year 3 - with SV" prompt="This is the ordinary farmland rate for a land value of $50,000 in Year 3 of the application - with the proposed special variation." sqref="I111"/>
    <dataValidation allowBlank="1" showInputMessage="1" showErrorMessage="1" promptTitle="Rate in Year 4 - with SV" prompt="This is the ordinary farmland rate for a land value of $50,000 in Year 4 of the application - with the proposed special variation." sqref="J111"/>
    <dataValidation allowBlank="1" showInputMessage="1" showErrorMessage="1" promptTitle="Rate in Year 5 - with SV" prompt="This is the ordinary farmland rate for a land value of $50,000 in Year 5 of the application - with the proposed special variation." sqref="K111"/>
    <dataValidation allowBlank="1" showInputMessage="1" showErrorMessage="1" promptTitle="Rate in Year 6 - with SV" prompt="This is the ordinary farmland rate for a land value of $50,000 in Year 6 of the application - with the proposed special variation." sqref="L111"/>
    <dataValidation allowBlank="1" showInputMessage="1" showErrorMessage="1" promptTitle="Rate in Year 7 - with SV" prompt="This is the ordinary farmland rate for a land value of $50,000 in Year 7 of the application - with the proposed special variation." sqref="M111"/>
    <dataValidation allowBlank="1" showErrorMessage="1" promptTitle="Number of property assessments" prompt="This is the estimated number of ordinary residential property assessments with land valued between $0 and $99,999 in the first year of the special variation." sqref="D49:D63 D145 D112:D125 D90:D104 D71:D84 D29:D43"/>
    <dataValidation allowBlank="1" showInputMessage="1" showErrorMessage="1" promptTitle="Number of property assessments" prompt="This is the estimated number of ordinary business property assessments with land valued between $0 and $99,999 in the first year of the special variation." sqref="D70"/>
    <dataValidation allowBlank="1" showInputMessage="1" showErrorMessage="1" promptTitle="Rate in Year 1 - with SV" prompt="This is the ordinary business rate for a land value of $50,000 in Year 1 of the application - with the proposed special variation." sqref="G70"/>
    <dataValidation allowBlank="1" showInputMessage="1" showErrorMessage="1" promptTitle="Current Rate" prompt="This is the ordinary business rate for a land value of $50,000 in Year 0 of the application, usually the current financial year." sqref="F70 F90"/>
    <dataValidation allowBlank="1" showInputMessage="1" showErrorMessage="1" promptTitle="Rate in Year 2 - with SV" prompt="This is the ordinary business rate for a land value of $50,000 in Year 2 of the application - with the proposed special variation." sqref="H70"/>
    <dataValidation allowBlank="1" showInputMessage="1" showErrorMessage="1" promptTitle="Rate in Year 3 - with SV" prompt="This is the ordinary business rate for a land value of $50,000 in Year 3 of the application - with the proposed special variation." sqref="I70"/>
    <dataValidation allowBlank="1" showInputMessage="1" showErrorMessage="1" promptTitle="Rate in Year 4 - with SV" prompt="This is the ordinary business rate for a land value of $50,000 in Year 4 of the application - with the proposed special variation." sqref="J70"/>
    <dataValidation allowBlank="1" showInputMessage="1" showErrorMessage="1" promptTitle="Rate in Year 5 - with SV" prompt="This is the ordinary business rate for a land value of $50,000 in Year 5 of the application - with the proposed special variation." sqref="K70"/>
    <dataValidation allowBlank="1" showInputMessage="1" showErrorMessage="1" promptTitle="Rate in Year 6 - with SV" prompt="This is the ordinary business rate for a land value of $50,000 in Year 6 of the application - with the proposed special variation." sqref="L70"/>
    <dataValidation allowBlank="1" showInputMessage="1" showErrorMessage="1" promptTitle="Rate in Year 7 - with SV" prompt="This is the ordinary business rate for a land value of $50,000 in Year 7 of the application - with the proposed special variation." sqref="M70"/>
    <dataValidation allowBlank="1" showInputMessage="1" showErrorMessage="1" promptTitle="Current Rate" prompt="This is the ordinary residential rate for a land value of $50,000 in Year 0 of the application, usually the current financial year." sqref="F29 F49"/>
    <dataValidation allowBlank="1" showInputMessage="1" showErrorMessage="1" promptTitle="Rate in Year 1 - with SV" prompt="This is the ordinary residential rate for a land value of $50,000 in Year 1 of the application - with the proposed special variation." sqref="G29"/>
    <dataValidation allowBlank="1" showInputMessage="1" showErrorMessage="1" promptTitle="Rate in Year 2 - with SV" prompt="This is the ordinary residential rate for a land value of $50,000 in Year 2 of the application - with the proposed special variation." sqref="H29"/>
    <dataValidation allowBlank="1" showInputMessage="1" showErrorMessage="1" promptTitle="Rate in Year 3 - with SV" prompt="This is the ordinary residential rate for a land value of $50,000 in Year 3 of the application - with the proposed special variation." sqref="I29"/>
    <dataValidation allowBlank="1" showInputMessage="1" showErrorMessage="1" promptTitle="Rate in Year 4 - with SV" prompt="This is the ordinary residential rate for a land value of $50,000 in Year 4 of the application - with the proposed special variation." sqref="J29"/>
    <dataValidation allowBlank="1" showInputMessage="1" showErrorMessage="1" promptTitle="Rate in Year 5 - with SV" prompt="This is the ordinary residential rate for a land value of $50,000 in Year 5 of the application - with the proposed special variation." sqref="K29"/>
    <dataValidation allowBlank="1" showInputMessage="1" showErrorMessage="1" promptTitle="Rate in Year 6 - with SV" prompt="This is the ordinary residential rate for a land value of $50,000 in Year 6 of the application - with the proposed special variation." sqref="L29"/>
    <dataValidation allowBlank="1" showInputMessage="1" showErrorMessage="1" promptTitle="Rate in Year 7 - with SV" prompt="This is the ordinary residential rate for a land value of $50,000 in Year 7 of the application - with the proposed special variation." sqref="M29"/>
    <dataValidation allowBlank="1" showInputMessage="1" showErrorMessage="1" promptTitle="Rate in Year 1 - with SV" prompt="This is the ordinary farmland rate for a land value of $50,000 in Year 1 of the application - without the proposed special variation." sqref="G131"/>
    <dataValidation allowBlank="1" showInputMessage="1" showErrorMessage="1" promptTitle="Rate in Year 2 - with SV" prompt="This is the ordinary farmland rate for a land value of $50,000 in Year 2 of the application - without the proposed special variation." sqref="H131"/>
    <dataValidation allowBlank="1" showInputMessage="1" showErrorMessage="1" promptTitle="Rate in Year 3 - with SV" prompt="This is the ordinary farmland rate for a land value of $50,000 in Year 3 of the application - without the proposed special variation." sqref="I131"/>
    <dataValidation allowBlank="1" showInputMessage="1" showErrorMessage="1" promptTitle="Rate in Year 4 - with SV" prompt="This is the ordinary farmland rate for a land value of $50,000 in Year 4 of the application - without the proposed special variation." sqref="J131"/>
    <dataValidation allowBlank="1" showInputMessage="1" showErrorMessage="1" promptTitle="Rate in Year 5 - with SV" prompt="This is the ordinary farmland rate for a land value of $50,000 in Year 5 of the application - without the proposed special variation." sqref="K131"/>
    <dataValidation allowBlank="1" showInputMessage="1" showErrorMessage="1" promptTitle="Rate in Year 6 - with SV" prompt="This is the ordinary farmland rate for a land value of $50,000 in Year 6 of the application - without the proposed special variation." sqref="L131"/>
    <dataValidation allowBlank="1" showInputMessage="1" showErrorMessage="1" promptTitle="Rate in Year 7 - with SV" prompt="This is the ordinary farmland rate for a land value of $50,000 in Year 7 of the application - without the proposed special variation." sqref="M131"/>
    <dataValidation allowBlank="1" showInputMessage="1" showErrorMessage="1" promptTitle="Rate in Year 1 - with SV" prompt="This is the ordinary business rate for a land value of $50,000 in Year 1 of the application - without the proposed special variation." sqref="G90"/>
    <dataValidation allowBlank="1" showInputMessage="1" showErrorMessage="1" promptTitle="Rate in Year 2 - with SV" prompt="This is the ordinary business rate for a land value of $50,000 in Year 2 of the application - without the proposed special variation." sqref="H90"/>
    <dataValidation allowBlank="1" showInputMessage="1" showErrorMessage="1" promptTitle="Rate in Year 3 - with SV" prompt="This is the ordinary business rate for a land value of $50,000 in Year 3 of the application - without the proposed special variation." sqref="I90"/>
    <dataValidation allowBlank="1" showInputMessage="1" showErrorMessage="1" promptTitle="Rate in Year 4 - with SV" prompt="This is the ordinary business rate for a land value of $50,000 in Year 4 of the application - without the proposed special variation." sqref="J90"/>
    <dataValidation allowBlank="1" showInputMessage="1" showErrorMessage="1" promptTitle="Rate in Year 5 - with SV" prompt="This is the ordinary business rate for a land value of $50,000 in Year 5 of the application - without the proposed special variation." sqref="K90"/>
    <dataValidation allowBlank="1" showInputMessage="1" showErrorMessage="1" promptTitle="Rate in Year 6 - with SV" prompt="This is the ordinary business rate for a land value of $50,000 in Year 6 of the application - without the proposed special variation." sqref="L90"/>
    <dataValidation allowBlank="1" showInputMessage="1" showErrorMessage="1" promptTitle="Rate in Year 7 - with SV" prompt="This is the ordinary business rate for a land value of $50,000 in Year 7 of the application - without the proposed special variation." sqref="M90"/>
    <dataValidation allowBlank="1" showInputMessage="1" showErrorMessage="1" promptTitle="Rate in Year 1 - with SV" prompt="This is the ordinary residential rate for a land value of $50,000 in Year 1 of the application - without the proposed special variation." sqref="G49"/>
    <dataValidation allowBlank="1" showInputMessage="1" showErrorMessage="1" promptTitle="Rate in Year 2 - with SV" prompt="This is the ordinary residential rate for a land value of $50,000 in Year 2 of the application - without the proposed special variation." sqref="H49"/>
    <dataValidation allowBlank="1" showInputMessage="1" showErrorMessage="1" promptTitle="Rate in Year 3 - with SV" prompt="This is the ordinary residential rate for a land value of $50,000 in Year 3 of the application - without the proposed special variation." sqref="I49"/>
    <dataValidation allowBlank="1" showInputMessage="1" showErrorMessage="1" promptTitle="Rate in Year 4 - with SV" prompt="This is the ordinary residential rate for a land value of $50,000 in Year 4 of the application - without the proposed special variation." sqref="J49"/>
    <dataValidation allowBlank="1" showInputMessage="1" showErrorMessage="1" promptTitle="Rate in Year 5 - with SV" prompt="This is the ordinary residential rate for a land value of $50,000 in Year 5 of the application - without the proposed special variation." sqref="K49"/>
    <dataValidation allowBlank="1" showInputMessage="1" showErrorMessage="1" promptTitle="Rate in Year 6 - with SV" prompt="This is the ordinary residential rate for a land value of $50,000 in Year 6 of the application - without the proposed special variation." sqref="L49"/>
    <dataValidation allowBlank="1" showInputMessage="1" showErrorMessage="1" promptTitle="Rate in Year 7 - with SV" prompt="This is the ordinary residential rate for a land value of $50,000 in Year 7 of the application - without the proposed special variation." sqref="M49"/>
    <dataValidation allowBlank="1" showErrorMessage="1" promptTitle="Number of property assessments" prompt="This is the estimated number of ordinary farmland property assessments with land valued between $0 and $99,999 in the first year of the special variation." sqref="D131"/>
    <dataValidation type="list" allowBlank="1" showInputMessage="1" showErrorMessage="1" sqref="G21">
      <formula1>$P$9:$P$12</formula1>
    </dataValidation>
  </dataValidations>
  <printOptions horizontalCentered="1"/>
  <pageMargins left="0.17" right="0.17" top="0.39370078740157483" bottom="0.39370078740157483" header="0.51181102362204722" footer="0.19685039370078741"/>
  <pageSetup paperSize="9" scale="31" fitToHeight="0" pageOrder="overThenDown" orientation="landscape" r:id="rId1"/>
  <headerFooter alignWithMargins="0"/>
  <rowBreaks count="2" manualBreakCount="2">
    <brk id="63" min="1" max="46" man="1"/>
    <brk id="104" min="1" max="46" man="1"/>
  </rowBreaks>
  <colBreaks count="1" manualBreakCount="1">
    <brk id="32" max="9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104"/>
  <sheetViews>
    <sheetView showGridLines="0" topLeftCell="B1" zoomScaleNormal="100" zoomScaleSheetLayoutView="85" workbookViewId="0">
      <selection activeCell="B1" sqref="B1"/>
    </sheetView>
  </sheetViews>
  <sheetFormatPr defaultRowHeight="11.4" x14ac:dyDescent="0.2"/>
  <cols>
    <col min="1" max="1" width="2.75" hidden="1" customWidth="1"/>
    <col min="2" max="2" width="2.375" customWidth="1"/>
    <col min="3" max="3" width="39.625" customWidth="1"/>
    <col min="4" max="14" width="12.75" customWidth="1"/>
    <col min="15" max="15" width="3.625" customWidth="1"/>
    <col min="17" max="17" width="15.625" customWidth="1"/>
  </cols>
  <sheetData>
    <row r="1" spans="1:14" x14ac:dyDescent="0.2">
      <c r="A1" s="210"/>
      <c r="B1" s="210"/>
      <c r="C1" s="210"/>
      <c r="D1" s="210"/>
      <c r="E1" s="210"/>
      <c r="F1" s="210"/>
      <c r="G1" s="210"/>
      <c r="H1" s="210"/>
      <c r="I1" s="210"/>
      <c r="J1" s="210"/>
      <c r="K1" s="210"/>
      <c r="L1" s="210"/>
      <c r="M1" s="210"/>
      <c r="N1" s="210"/>
    </row>
    <row r="2" spans="1:14" ht="15.6" x14ac:dyDescent="0.3">
      <c r="A2" s="210"/>
      <c r="B2" s="210"/>
      <c r="C2" s="845" t="str">
        <f>'WK1 - Identification'!E11</f>
        <v>Lismore City Council</v>
      </c>
      <c r="D2" s="846"/>
      <c r="E2" s="846"/>
      <c r="F2" s="847"/>
      <c r="G2" s="209"/>
      <c r="H2" s="209"/>
      <c r="I2" s="209"/>
      <c r="J2" s="209"/>
      <c r="K2" s="209"/>
      <c r="L2" s="209"/>
      <c r="M2" s="210"/>
      <c r="N2" s="210"/>
    </row>
    <row r="3" spans="1:14" ht="3.75" customHeight="1" x14ac:dyDescent="0.2">
      <c r="A3" s="210"/>
      <c r="B3" s="210"/>
      <c r="C3" s="210"/>
      <c r="D3" s="210"/>
      <c r="E3" s="210"/>
      <c r="F3" s="210"/>
      <c r="G3" s="210"/>
      <c r="H3" s="210"/>
      <c r="I3" s="210"/>
      <c r="J3" s="210"/>
      <c r="K3" s="210"/>
      <c r="L3" s="210"/>
      <c r="M3" s="210"/>
      <c r="N3" s="210"/>
    </row>
    <row r="4" spans="1:14" ht="28.95" customHeight="1" x14ac:dyDescent="0.4">
      <c r="A4" s="210"/>
      <c r="B4" s="854" t="s">
        <v>266</v>
      </c>
      <c r="C4" s="854"/>
      <c r="D4" s="854"/>
      <c r="E4" s="854"/>
      <c r="F4" s="854"/>
      <c r="G4" s="854"/>
      <c r="H4" s="854"/>
      <c r="I4" s="854"/>
      <c r="J4" s="854"/>
      <c r="K4" s="854"/>
      <c r="L4" s="855"/>
      <c r="M4" s="855"/>
      <c r="N4" s="855"/>
    </row>
    <row r="5" spans="1:14" ht="6" customHeight="1" x14ac:dyDescent="0.2">
      <c r="A5" s="210"/>
      <c r="B5" s="210"/>
      <c r="C5" s="210"/>
      <c r="D5" s="210"/>
      <c r="E5" s="210"/>
      <c r="F5" s="210"/>
      <c r="G5" s="210"/>
      <c r="H5" s="210"/>
      <c r="I5" s="210"/>
      <c r="J5" s="210"/>
      <c r="K5" s="210"/>
      <c r="L5" s="210"/>
      <c r="M5" s="210"/>
      <c r="N5" s="210"/>
    </row>
    <row r="6" spans="1:14" ht="17.25" customHeight="1" x14ac:dyDescent="0.3">
      <c r="A6" s="210"/>
      <c r="B6" s="210"/>
      <c r="C6" s="210"/>
      <c r="D6" s="210"/>
      <c r="E6" s="210"/>
      <c r="F6" s="37" t="s">
        <v>730</v>
      </c>
      <c r="G6" s="37"/>
      <c r="H6" s="37"/>
      <c r="I6" s="38"/>
      <c r="J6" s="210"/>
      <c r="K6" s="210"/>
      <c r="L6" s="210"/>
      <c r="M6" s="210"/>
      <c r="N6" s="210"/>
    </row>
    <row r="7" spans="1:14" ht="18" customHeight="1" x14ac:dyDescent="0.2">
      <c r="A7" s="210"/>
      <c r="B7" s="210"/>
      <c r="C7" s="210"/>
      <c r="D7" s="210"/>
      <c r="E7" s="210"/>
      <c r="F7" s="210"/>
      <c r="G7" s="210"/>
      <c r="H7" s="210"/>
      <c r="I7" s="210"/>
      <c r="J7" s="210"/>
      <c r="K7" s="210"/>
      <c r="L7" s="210"/>
      <c r="M7" s="210"/>
      <c r="N7" s="210"/>
    </row>
    <row r="8" spans="1:14" ht="22.8" x14ac:dyDescent="0.4">
      <c r="A8" s="314"/>
      <c r="B8" s="856" t="s">
        <v>360</v>
      </c>
      <c r="C8" s="856"/>
      <c r="D8" s="856"/>
      <c r="E8" s="856"/>
      <c r="F8" s="856"/>
      <c r="G8" s="856"/>
      <c r="H8" s="856"/>
      <c r="I8" s="856"/>
      <c r="J8" s="856"/>
      <c r="K8" s="856"/>
      <c r="L8" s="855"/>
      <c r="M8" s="855"/>
      <c r="N8" s="855"/>
    </row>
    <row r="9" spans="1:14" ht="10.199999999999999" customHeight="1" x14ac:dyDescent="0.4">
      <c r="A9" s="81"/>
      <c r="B9" s="208"/>
      <c r="C9" s="860" t="s">
        <v>717</v>
      </c>
      <c r="D9" s="860"/>
      <c r="E9" s="860"/>
      <c r="F9" s="860"/>
      <c r="G9" s="860"/>
      <c r="H9" s="860"/>
      <c r="I9" s="860"/>
      <c r="J9" s="860"/>
      <c r="K9" s="860"/>
      <c r="L9" s="860"/>
      <c r="M9" s="860"/>
      <c r="N9" s="860"/>
    </row>
    <row r="10" spans="1:14" ht="17.25" customHeight="1" x14ac:dyDescent="0.2">
      <c r="A10" s="38"/>
      <c r="B10" s="38"/>
      <c r="C10" s="860"/>
      <c r="D10" s="860"/>
      <c r="E10" s="860"/>
      <c r="F10" s="860"/>
      <c r="G10" s="860"/>
      <c r="H10" s="860"/>
      <c r="I10" s="860"/>
      <c r="J10" s="860"/>
      <c r="K10" s="860"/>
      <c r="L10" s="860"/>
      <c r="M10" s="860"/>
      <c r="N10" s="860"/>
    </row>
    <row r="11" spans="1:14" x14ac:dyDescent="0.2">
      <c r="A11" s="38"/>
      <c r="B11" s="38"/>
      <c r="C11" s="860"/>
      <c r="D11" s="860"/>
      <c r="E11" s="860"/>
      <c r="F11" s="860"/>
      <c r="G11" s="860"/>
      <c r="H11" s="860"/>
      <c r="I11" s="860"/>
      <c r="J11" s="860"/>
      <c r="K11" s="860"/>
      <c r="L11" s="860"/>
      <c r="M11" s="860"/>
      <c r="N11" s="860"/>
    </row>
    <row r="12" spans="1:14" x14ac:dyDescent="0.2">
      <c r="A12" s="38"/>
      <c r="B12" s="38"/>
      <c r="C12" s="860"/>
      <c r="D12" s="860"/>
      <c r="E12" s="860"/>
      <c r="F12" s="860"/>
      <c r="G12" s="860"/>
      <c r="H12" s="860"/>
      <c r="I12" s="860"/>
      <c r="J12" s="860"/>
      <c r="K12" s="860"/>
      <c r="L12" s="860"/>
      <c r="M12" s="860"/>
      <c r="N12" s="860"/>
    </row>
    <row r="13" spans="1:14" x14ac:dyDescent="0.2">
      <c r="A13" s="38"/>
      <c r="B13" s="38"/>
      <c r="C13" s="860"/>
      <c r="D13" s="860"/>
      <c r="E13" s="860"/>
      <c r="F13" s="860"/>
      <c r="G13" s="860"/>
      <c r="H13" s="860"/>
      <c r="I13" s="860"/>
      <c r="J13" s="860"/>
      <c r="K13" s="860"/>
      <c r="L13" s="860"/>
      <c r="M13" s="860"/>
      <c r="N13" s="860"/>
    </row>
    <row r="14" spans="1:14" x14ac:dyDescent="0.2">
      <c r="A14" s="38"/>
      <c r="B14" s="38"/>
      <c r="C14" s="860"/>
      <c r="D14" s="860"/>
      <c r="E14" s="860"/>
      <c r="F14" s="860"/>
      <c r="G14" s="860"/>
      <c r="H14" s="860"/>
      <c r="I14" s="860"/>
      <c r="J14" s="860"/>
      <c r="K14" s="860"/>
      <c r="L14" s="860"/>
      <c r="M14" s="860"/>
      <c r="N14" s="860"/>
    </row>
    <row r="15" spans="1:14" x14ac:dyDescent="0.2">
      <c r="A15" s="38"/>
      <c r="B15" s="38"/>
      <c r="C15" s="860"/>
      <c r="D15" s="860"/>
      <c r="E15" s="860"/>
      <c r="F15" s="860"/>
      <c r="G15" s="860"/>
      <c r="H15" s="860"/>
      <c r="I15" s="860"/>
      <c r="J15" s="860"/>
      <c r="K15" s="860"/>
      <c r="L15" s="860"/>
      <c r="M15" s="860"/>
      <c r="N15" s="860"/>
    </row>
    <row r="16" spans="1:14" x14ac:dyDescent="0.2">
      <c r="A16" s="38"/>
      <c r="B16" s="38"/>
      <c r="C16" s="860"/>
      <c r="D16" s="860"/>
      <c r="E16" s="860"/>
      <c r="F16" s="860"/>
      <c r="G16" s="860"/>
      <c r="H16" s="860"/>
      <c r="I16" s="860"/>
      <c r="J16" s="860"/>
      <c r="K16" s="860"/>
      <c r="L16" s="860"/>
      <c r="M16" s="860"/>
      <c r="N16" s="860"/>
    </row>
    <row r="17" spans="1:17" x14ac:dyDescent="0.2">
      <c r="A17" s="38"/>
      <c r="B17" s="38"/>
      <c r="C17" s="860"/>
      <c r="D17" s="860"/>
      <c r="E17" s="860"/>
      <c r="F17" s="860"/>
      <c r="G17" s="860"/>
      <c r="H17" s="860"/>
      <c r="I17" s="860"/>
      <c r="J17" s="860"/>
      <c r="K17" s="860"/>
      <c r="L17" s="860"/>
      <c r="M17" s="860"/>
      <c r="N17" s="860"/>
    </row>
    <row r="18" spans="1:17" ht="13.5" customHeight="1" x14ac:dyDescent="0.2">
      <c r="A18" s="38"/>
      <c r="B18" s="38"/>
      <c r="C18" s="860"/>
      <c r="D18" s="860"/>
      <c r="E18" s="860"/>
      <c r="F18" s="860"/>
      <c r="G18" s="860"/>
      <c r="H18" s="860"/>
      <c r="I18" s="860"/>
      <c r="J18" s="860"/>
      <c r="K18" s="860"/>
      <c r="L18" s="860"/>
      <c r="M18" s="860"/>
      <c r="N18" s="860"/>
    </row>
    <row r="19" spans="1:17" ht="13.5" customHeight="1" x14ac:dyDescent="0.2">
      <c r="A19" s="38"/>
      <c r="B19" s="38"/>
      <c r="C19" s="596" t="s">
        <v>723</v>
      </c>
      <c r="D19" s="595">
        <v>0</v>
      </c>
      <c r="E19" s="686">
        <f>1+D19</f>
        <v>1</v>
      </c>
      <c r="F19" s="686">
        <f t="shared" ref="F19:M19" si="0">1+E19</f>
        <v>2</v>
      </c>
      <c r="G19" s="686">
        <f t="shared" si="0"/>
        <v>3</v>
      </c>
      <c r="H19" s="686">
        <f t="shared" si="0"/>
        <v>4</v>
      </c>
      <c r="I19" s="686">
        <f t="shared" si="0"/>
        <v>5</v>
      </c>
      <c r="J19" s="686">
        <f t="shared" si="0"/>
        <v>6</v>
      </c>
      <c r="K19" s="686">
        <f t="shared" si="0"/>
        <v>7</v>
      </c>
      <c r="L19" s="686">
        <f t="shared" si="0"/>
        <v>8</v>
      </c>
      <c r="M19" s="686">
        <f t="shared" si="0"/>
        <v>9</v>
      </c>
      <c r="N19" s="628"/>
    </row>
    <row r="20" spans="1:17" ht="13.5" customHeight="1" x14ac:dyDescent="0.25">
      <c r="A20" s="38"/>
      <c r="B20" s="38"/>
      <c r="C20" s="597" t="s">
        <v>721</v>
      </c>
      <c r="D20" s="688" t="str">
        <f>IF('WK1 - Identification'!$L$23="Temporary","Yes","No")</f>
        <v>Yes</v>
      </c>
      <c r="E20" s="628"/>
      <c r="F20" s="628"/>
      <c r="G20" s="628"/>
      <c r="H20" s="628"/>
      <c r="I20" s="628"/>
      <c r="J20" s="628"/>
      <c r="K20" s="628"/>
      <c r="L20" s="628"/>
      <c r="M20" s="628"/>
      <c r="N20" s="628"/>
    </row>
    <row r="21" spans="1:17" ht="13.5" customHeight="1" x14ac:dyDescent="0.25">
      <c r="A21" s="38"/>
      <c r="B21" s="38"/>
      <c r="C21" s="598" t="s">
        <v>722</v>
      </c>
      <c r="D21" s="688" t="str">
        <f>IF($D20="No","",(IF('WK1 - Identification'!$M$23&gt;D19,"Yes","No")))</f>
        <v>Yes</v>
      </c>
      <c r="E21" s="687" t="str">
        <f>IF($D20="No","",(IF('WK1 - Identification'!$M$23&gt;E19,"Yes","No")))</f>
        <v>Yes</v>
      </c>
      <c r="F21" s="687" t="str">
        <f>IF($D20="No","",(IF('WK1 - Identification'!$M$23&gt;F19,"Yes","No")))</f>
        <v>Yes</v>
      </c>
      <c r="G21" s="687" t="str">
        <f>IF($D20="No","",(IF('WK1 - Identification'!$M$23&gt;G19,"Yes","No")))</f>
        <v>Yes</v>
      </c>
      <c r="H21" s="687" t="str">
        <f>IF($D20="No","",(IF('WK1 - Identification'!$M$23&gt;H19,"Yes","No")))</f>
        <v>Yes</v>
      </c>
      <c r="I21" s="687" t="str">
        <f>IF($D20="No","",(IF('WK1 - Identification'!$M$23&gt;I19,"Yes","No")))</f>
        <v>No</v>
      </c>
      <c r="J21" s="687" t="str">
        <f>IF($D20="No","",(IF('WK1 - Identification'!$M$23&gt;J19,"Yes","No")))</f>
        <v>No</v>
      </c>
      <c r="K21" s="687" t="str">
        <f>IF($D20="No","",(IF('WK1 - Identification'!$M$23&gt;K19,"Yes","No")))</f>
        <v>No</v>
      </c>
      <c r="L21" s="687" t="str">
        <f>IF($D20="No","",(IF('WK1 - Identification'!$M$23&gt;L19,"Yes","No")))</f>
        <v>No</v>
      </c>
      <c r="M21" s="687" t="str">
        <f>IF($D20="No","",(IF('WK1 - Identification'!$M$23&gt;M19,"Yes","No")))</f>
        <v>No</v>
      </c>
      <c r="N21" s="628"/>
    </row>
    <row r="22" spans="1:17" ht="6.75" customHeight="1" thickBot="1" x14ac:dyDescent="0.35">
      <c r="A22" s="38"/>
      <c r="B22" s="83"/>
      <c r="C22" s="38"/>
      <c r="D22" s="38"/>
      <c r="E22" s="38"/>
      <c r="F22" s="38"/>
      <c r="G22" s="38"/>
      <c r="H22" s="38"/>
      <c r="I22" s="38"/>
      <c r="J22" s="38"/>
      <c r="K22" s="38"/>
      <c r="L22" s="38"/>
      <c r="M22" s="38"/>
      <c r="N22" s="38"/>
      <c r="O22" s="38"/>
      <c r="P22" s="38"/>
      <c r="Q22" s="38"/>
    </row>
    <row r="23" spans="1:17" ht="15.6" x14ac:dyDescent="0.3">
      <c r="A23" s="38"/>
      <c r="B23" s="38"/>
      <c r="C23" s="38"/>
      <c r="D23" s="850" t="s">
        <v>359</v>
      </c>
      <c r="E23" s="851"/>
      <c r="F23" s="851"/>
      <c r="G23" s="851"/>
      <c r="H23" s="851"/>
      <c r="I23" s="851"/>
      <c r="J23" s="851"/>
      <c r="K23" s="851"/>
      <c r="L23" s="852"/>
      <c r="M23" s="852"/>
      <c r="N23" s="853"/>
    </row>
    <row r="24" spans="1:17" ht="18" customHeight="1" x14ac:dyDescent="0.3">
      <c r="A24" s="38"/>
      <c r="B24" s="38"/>
      <c r="C24" s="857" t="s">
        <v>720</v>
      </c>
      <c r="D24" s="858"/>
      <c r="E24" s="858"/>
      <c r="F24" s="858"/>
      <c r="G24" s="858"/>
      <c r="H24" s="858"/>
      <c r="I24" s="858"/>
      <c r="J24" s="858"/>
      <c r="K24" s="858"/>
      <c r="L24" s="858"/>
      <c r="M24" s="858"/>
      <c r="N24" s="859"/>
    </row>
    <row r="25" spans="1:17" ht="39.75" customHeight="1" x14ac:dyDescent="0.25">
      <c r="A25" s="38"/>
      <c r="B25" s="38"/>
      <c r="C25" s="363"/>
      <c r="D25" s="503" t="s">
        <v>267</v>
      </c>
      <c r="E25" s="503" t="s">
        <v>268</v>
      </c>
      <c r="F25" s="503" t="s">
        <v>269</v>
      </c>
      <c r="G25" s="503" t="s">
        <v>270</v>
      </c>
      <c r="H25" s="503" t="s">
        <v>271</v>
      </c>
      <c r="I25" s="503" t="s">
        <v>272</v>
      </c>
      <c r="J25" s="503" t="s">
        <v>273</v>
      </c>
      <c r="K25" s="503" t="s">
        <v>274</v>
      </c>
      <c r="L25" s="503" t="s">
        <v>275</v>
      </c>
      <c r="M25" s="503" t="s">
        <v>276</v>
      </c>
      <c r="N25" s="861" t="s">
        <v>277</v>
      </c>
    </row>
    <row r="26" spans="1:17" ht="27.75" customHeight="1" x14ac:dyDescent="0.25">
      <c r="A26" s="38"/>
      <c r="B26" s="38"/>
      <c r="C26" s="366"/>
      <c r="D26" s="689" t="str">
        <f>'WK5a - Impact on Rates'!F23</f>
        <v>2018-19</v>
      </c>
      <c r="E26" s="689" t="str">
        <f>'WK5a - Impact on Rates'!G23</f>
        <v>2019-20</v>
      </c>
      <c r="F26" s="689" t="str">
        <f>'WK5a - Impact on Rates'!H23</f>
        <v>2020-21</v>
      </c>
      <c r="G26" s="689" t="str">
        <f>'WK5a - Impact on Rates'!I23</f>
        <v>2021-22</v>
      </c>
      <c r="H26" s="689" t="str">
        <f>'WK5a - Impact on Rates'!J23</f>
        <v>2022-23</v>
      </c>
      <c r="I26" s="689" t="str">
        <f>'WK5a - Impact on Rates'!K23</f>
        <v>2023-24</v>
      </c>
      <c r="J26" s="689" t="str">
        <f>'WK5a - Impact on Rates'!L23</f>
        <v>2024-25</v>
      </c>
      <c r="K26" s="690" t="str">
        <f>LEFT(J26,4)+1&amp;"-"&amp;RIGHT(J26,2)+1</f>
        <v>2025-26</v>
      </c>
      <c r="L26" s="690" t="str">
        <f>LEFT(K26,4)+1&amp;"-"&amp;RIGHT(K26,2)+1</f>
        <v>2026-27</v>
      </c>
      <c r="M26" s="690" t="str">
        <f>LEFT(L26,4)+1&amp;"-"&amp;RIGHT(L26,2)+1</f>
        <v>2027-28</v>
      </c>
      <c r="N26" s="862"/>
    </row>
    <row r="27" spans="1:17" ht="15.75" customHeight="1" x14ac:dyDescent="0.25">
      <c r="A27" s="210"/>
      <c r="B27" s="210"/>
      <c r="C27" s="848" t="s">
        <v>361</v>
      </c>
      <c r="D27" s="753"/>
      <c r="E27" s="753"/>
      <c r="F27" s="753"/>
      <c r="G27" s="753"/>
      <c r="H27" s="753"/>
      <c r="I27" s="753"/>
      <c r="J27" s="753"/>
      <c r="K27" s="753"/>
      <c r="L27" s="753"/>
      <c r="M27" s="753"/>
      <c r="N27" s="849"/>
    </row>
    <row r="28" spans="1:17" ht="10.5" customHeight="1" x14ac:dyDescent="0.25">
      <c r="A28" s="210"/>
      <c r="B28" s="210"/>
      <c r="C28" s="367"/>
      <c r="D28" s="312"/>
      <c r="E28" s="312"/>
      <c r="F28" s="175"/>
      <c r="G28" s="175"/>
      <c r="H28" s="175"/>
      <c r="I28" s="175"/>
      <c r="J28" s="175"/>
      <c r="K28" s="176"/>
      <c r="L28" s="175"/>
      <c r="M28" s="176"/>
      <c r="N28" s="178"/>
    </row>
    <row r="29" spans="1:17" s="162" customFormat="1" ht="13.8" x14ac:dyDescent="0.25">
      <c r="A29" s="456"/>
      <c r="B29" s="456"/>
      <c r="C29" s="457" t="s">
        <v>718</v>
      </c>
      <c r="D29" s="691">
        <f>IF('WK1 - Identification'!F84=0,"",('WK1 - Identification'!F84))</f>
        <v>120174.92553956807</v>
      </c>
      <c r="E29" s="691">
        <f>IF(E21="No",0,(IF('WK1 - Identification'!J72="",D29*(1+'WK1 - Identification'!E46),'WK1 - Identification'!J72-'WK1 - Identification'!M72)))</f>
        <v>123179.29867805541</v>
      </c>
      <c r="F29" s="691">
        <f>IF(F21="No",0,(IF('WK1 - Identification'!J73="",E29*(1+'WK1 - Identification'!E47),'WK1 - Identification'!J73-'WK1 - Identification'!M73)))</f>
        <v>126258.78114500642</v>
      </c>
      <c r="G29" s="691">
        <f>IF(G21="No",0,(IF('WK1 - Identification'!J74="",F29*(1+'WK1 - Identification'!E48),'WK1 - Identification'!J74-'WK1 - Identification'!M74)))</f>
        <v>129415.25067363307</v>
      </c>
      <c r="H29" s="691">
        <f>IF(H21="No",0,(IF('WK1 - Identification'!J75="",G29*(1+'WK1 - Identification'!E49),'WK1 - Identification'!J75-'WK1 - Identification'!M75)))</f>
        <v>132650.6319404766</v>
      </c>
      <c r="I29" s="691">
        <f>IF(I21="No",0,(IF('WK1 - Identification'!J76="",H29*(1+'WK1 - Identification'!E50),'WK1 - Identification'!J76-'WK1 - Identification'!M76)))</f>
        <v>0</v>
      </c>
      <c r="J29" s="691">
        <f>IF(J21="No",0,(IF('WK1 - Identification'!J77="",I29*(1+'WK1 - Identification'!E51),'WK1 - Identification'!J77-'WK1 - Identification'!M77)))</f>
        <v>0</v>
      </c>
      <c r="K29" s="691">
        <f>IF(K21="No",0,(J29*(1+'WK1 - Identification'!$E$51)))</f>
        <v>0</v>
      </c>
      <c r="L29" s="691">
        <f>IF(L21="No",0,(K29*(1+'WK1 - Identification'!$E$51)))</f>
        <v>0</v>
      </c>
      <c r="M29" s="691">
        <f>IF(M21="No",0,(L29*(1+'WK1 - Identification'!$E$51)))</f>
        <v>0</v>
      </c>
      <c r="N29" s="692">
        <f>SUM(D29:M29)</f>
        <v>631678.88797673956</v>
      </c>
    </row>
    <row r="30" spans="1:17" ht="9" customHeight="1" x14ac:dyDescent="0.25">
      <c r="A30" s="210"/>
      <c r="B30" s="210"/>
      <c r="C30" s="368"/>
      <c r="D30" s="311"/>
      <c r="E30" s="311"/>
      <c r="F30" s="177"/>
      <c r="G30" s="177"/>
      <c r="H30" s="177"/>
      <c r="I30" s="177"/>
      <c r="J30" s="177"/>
      <c r="K30" s="176"/>
      <c r="L30" s="175"/>
      <c r="M30" s="176"/>
      <c r="N30" s="178"/>
    </row>
    <row r="31" spans="1:17" ht="22.95" customHeight="1" x14ac:dyDescent="0.25">
      <c r="A31" s="210"/>
      <c r="B31" s="210"/>
      <c r="C31" s="848" t="s">
        <v>395</v>
      </c>
      <c r="D31" s="753"/>
      <c r="E31" s="753"/>
      <c r="F31" s="753"/>
      <c r="G31" s="753"/>
      <c r="H31" s="753"/>
      <c r="I31" s="753"/>
      <c r="J31" s="753"/>
      <c r="K31" s="753"/>
      <c r="L31" s="753"/>
      <c r="M31" s="753"/>
      <c r="N31" s="849"/>
    </row>
    <row r="32" spans="1:17" ht="38.25" customHeight="1" x14ac:dyDescent="0.25">
      <c r="A32" s="210"/>
      <c r="B32" s="210"/>
      <c r="C32" s="518" t="s">
        <v>704</v>
      </c>
      <c r="D32" s="691">
        <f t="shared" ref="D32:M32" si="1">+D29-D66</f>
        <v>-7.4460431933403015E-2</v>
      </c>
      <c r="E32" s="691">
        <f t="shared" si="1"/>
        <v>0.29867805540561676</v>
      </c>
      <c r="F32" s="691">
        <f t="shared" si="1"/>
        <v>-0.21885499358177185</v>
      </c>
      <c r="G32" s="691">
        <f t="shared" si="1"/>
        <v>0.25067363306879997</v>
      </c>
      <c r="H32" s="691">
        <f t="shared" si="1"/>
        <v>-0.36805952340364456</v>
      </c>
      <c r="I32" s="691">
        <f t="shared" si="1"/>
        <v>0</v>
      </c>
      <c r="J32" s="691">
        <f t="shared" si="1"/>
        <v>0</v>
      </c>
      <c r="K32" s="691">
        <f t="shared" si="1"/>
        <v>0</v>
      </c>
      <c r="L32" s="691">
        <f t="shared" si="1"/>
        <v>0</v>
      </c>
      <c r="M32" s="691">
        <f t="shared" si="1"/>
        <v>0</v>
      </c>
      <c r="N32" s="693">
        <f>SUM(D32:M32)</f>
        <v>-0.11202326044440269</v>
      </c>
    </row>
    <row r="33" spans="1:17" ht="27" customHeight="1" thickBot="1" x14ac:dyDescent="0.3">
      <c r="A33" s="210"/>
      <c r="B33" s="210"/>
      <c r="C33" s="848" t="s">
        <v>442</v>
      </c>
      <c r="D33" s="753"/>
      <c r="E33" s="753"/>
      <c r="F33" s="753"/>
      <c r="G33" s="753"/>
      <c r="H33" s="753"/>
      <c r="I33" s="753"/>
      <c r="J33" s="753"/>
      <c r="K33" s="753"/>
      <c r="L33" s="753"/>
      <c r="M33" s="753"/>
      <c r="N33" s="849"/>
    </row>
    <row r="34" spans="1:17" ht="28.2" thickBot="1" x14ac:dyDescent="0.25">
      <c r="A34" s="210"/>
      <c r="B34" s="210"/>
      <c r="C34" s="587" t="s">
        <v>468</v>
      </c>
      <c r="D34" s="174"/>
      <c r="E34" s="174"/>
      <c r="F34" s="174"/>
      <c r="G34" s="174"/>
      <c r="H34" s="174"/>
      <c r="I34" s="174"/>
      <c r="J34" s="174"/>
      <c r="K34" s="400"/>
      <c r="L34" s="174"/>
      <c r="M34" s="400"/>
      <c r="N34" s="498"/>
    </row>
    <row r="35" spans="1:17" ht="13.8" x14ac:dyDescent="0.25">
      <c r="A35" s="210"/>
      <c r="B35" s="210"/>
      <c r="C35" s="211" t="s">
        <v>790</v>
      </c>
      <c r="D35" s="174">
        <v>50000</v>
      </c>
      <c r="E35" s="174">
        <v>52500</v>
      </c>
      <c r="F35" s="174">
        <v>55000</v>
      </c>
      <c r="G35" s="174">
        <v>55000</v>
      </c>
      <c r="H35" s="174">
        <v>55000</v>
      </c>
      <c r="I35" s="174">
        <f>0.25*I29</f>
        <v>0</v>
      </c>
      <c r="J35" s="174">
        <f>0.25*J29</f>
        <v>0</v>
      </c>
      <c r="K35" s="174">
        <f>0.25*K29</f>
        <v>0</v>
      </c>
      <c r="L35" s="174">
        <f>0.25*L29</f>
        <v>0</v>
      </c>
      <c r="M35" s="174">
        <f>0.25*M29</f>
        <v>0</v>
      </c>
      <c r="N35" s="693">
        <f>SUM(D35:M35)</f>
        <v>267500</v>
      </c>
      <c r="Q35" s="403"/>
    </row>
    <row r="36" spans="1:17" ht="18.75" customHeight="1" x14ac:dyDescent="0.25">
      <c r="A36" s="210"/>
      <c r="B36" s="210"/>
      <c r="C36" s="211" t="s">
        <v>791</v>
      </c>
      <c r="D36" s="174">
        <v>60000</v>
      </c>
      <c r="E36" s="174">
        <v>57500</v>
      </c>
      <c r="F36" s="174">
        <v>60000</v>
      </c>
      <c r="G36" s="174">
        <v>62703</v>
      </c>
      <c r="H36" s="174">
        <v>65000</v>
      </c>
      <c r="I36" s="174"/>
      <c r="J36" s="174"/>
      <c r="K36" s="174"/>
      <c r="L36" s="174"/>
      <c r="M36" s="174"/>
      <c r="N36" s="693">
        <f t="shared" ref="N36:N50" si="2">SUM(D36:M36)</f>
        <v>305203</v>
      </c>
    </row>
    <row r="37" spans="1:17" ht="18.75" customHeight="1" x14ac:dyDescent="0.25">
      <c r="A37" s="210"/>
      <c r="B37" s="210"/>
      <c r="C37" s="211" t="s">
        <v>792</v>
      </c>
      <c r="D37" s="174">
        <v>1562</v>
      </c>
      <c r="E37" s="174">
        <v>1500</v>
      </c>
      <c r="F37" s="174">
        <v>0</v>
      </c>
      <c r="G37" s="174">
        <v>0</v>
      </c>
      <c r="H37" s="174">
        <v>0</v>
      </c>
      <c r="I37" s="174"/>
      <c r="J37" s="174"/>
      <c r="K37" s="174"/>
      <c r="L37" s="174"/>
      <c r="M37" s="174"/>
      <c r="N37" s="693">
        <f t="shared" si="2"/>
        <v>3062</v>
      </c>
    </row>
    <row r="38" spans="1:17" ht="18.75" customHeight="1" x14ac:dyDescent="0.25">
      <c r="A38" s="210"/>
      <c r="B38" s="210"/>
      <c r="C38" s="211" t="s">
        <v>793</v>
      </c>
      <c r="D38" s="23">
        <v>8613</v>
      </c>
      <c r="E38" s="174">
        <v>11679</v>
      </c>
      <c r="F38" s="174">
        <v>11259</v>
      </c>
      <c r="G38" s="174">
        <v>11712</v>
      </c>
      <c r="H38" s="174">
        <v>12651</v>
      </c>
      <c r="I38" s="174"/>
      <c r="J38" s="174"/>
      <c r="K38" s="174"/>
      <c r="L38" s="174"/>
      <c r="M38" s="174"/>
      <c r="N38" s="693">
        <f t="shared" si="2"/>
        <v>55914</v>
      </c>
    </row>
    <row r="39" spans="1:17" ht="18.75" customHeight="1" x14ac:dyDescent="0.25">
      <c r="A39" s="210"/>
      <c r="B39" s="210"/>
      <c r="C39" s="211"/>
      <c r="D39" s="174"/>
      <c r="E39" s="174"/>
      <c r="F39" s="174"/>
      <c r="G39" s="174"/>
      <c r="H39" s="174"/>
      <c r="I39" s="174"/>
      <c r="J39" s="174"/>
      <c r="K39" s="174"/>
      <c r="L39" s="174"/>
      <c r="M39" s="174"/>
      <c r="N39" s="693">
        <f t="shared" si="2"/>
        <v>0</v>
      </c>
    </row>
    <row r="40" spans="1:17" ht="18.75" customHeight="1" x14ac:dyDescent="0.25">
      <c r="A40" s="210"/>
      <c r="B40" s="210"/>
      <c r="C40" s="586" t="s">
        <v>794</v>
      </c>
      <c r="D40" s="174"/>
      <c r="E40" s="174"/>
      <c r="F40" s="174"/>
      <c r="G40" s="174"/>
      <c r="H40" s="174"/>
      <c r="I40" s="174"/>
      <c r="J40" s="174"/>
      <c r="K40" s="174"/>
      <c r="L40" s="174"/>
      <c r="M40" s="174"/>
      <c r="N40" s="693">
        <f t="shared" si="2"/>
        <v>0</v>
      </c>
    </row>
    <row r="41" spans="1:17" ht="18.75" customHeight="1" x14ac:dyDescent="0.25">
      <c r="A41" s="210"/>
      <c r="B41" s="210"/>
      <c r="C41" s="586" t="s">
        <v>795</v>
      </c>
      <c r="D41" s="174"/>
      <c r="E41" s="174"/>
      <c r="F41" s="174"/>
      <c r="G41" s="174"/>
      <c r="H41" s="174"/>
      <c r="I41" s="174"/>
      <c r="J41" s="174"/>
      <c r="K41" s="174"/>
      <c r="L41" s="174"/>
      <c r="M41" s="174"/>
      <c r="N41" s="693">
        <f t="shared" si="2"/>
        <v>0</v>
      </c>
    </row>
    <row r="42" spans="1:17" ht="18.75" customHeight="1" x14ac:dyDescent="0.25">
      <c r="A42" s="210"/>
      <c r="B42" s="210"/>
      <c r="C42" s="586" t="s">
        <v>796</v>
      </c>
      <c r="D42" s="174"/>
      <c r="E42" s="174"/>
      <c r="F42" s="174"/>
      <c r="G42" s="174"/>
      <c r="H42" s="174"/>
      <c r="I42" s="174"/>
      <c r="J42" s="174"/>
      <c r="K42" s="174"/>
      <c r="L42" s="174"/>
      <c r="M42" s="174"/>
      <c r="N42" s="693">
        <f t="shared" si="2"/>
        <v>0</v>
      </c>
    </row>
    <row r="43" spans="1:17" ht="18.75" customHeight="1" x14ac:dyDescent="0.25">
      <c r="A43" s="210"/>
      <c r="B43" s="210"/>
      <c r="C43" s="586" t="s">
        <v>797</v>
      </c>
      <c r="D43" s="174"/>
      <c r="E43" s="174"/>
      <c r="F43" s="174"/>
      <c r="G43" s="174"/>
      <c r="H43" s="174"/>
      <c r="I43" s="174"/>
      <c r="J43" s="174"/>
      <c r="K43" s="174"/>
      <c r="L43" s="174"/>
      <c r="M43" s="174"/>
      <c r="N43" s="693">
        <f t="shared" si="2"/>
        <v>0</v>
      </c>
    </row>
    <row r="44" spans="1:17" ht="18.75" customHeight="1" x14ac:dyDescent="0.25">
      <c r="A44" s="210"/>
      <c r="B44" s="210"/>
      <c r="C44" s="586"/>
      <c r="D44" s="174"/>
      <c r="E44" s="174"/>
      <c r="F44" s="174"/>
      <c r="G44" s="174"/>
      <c r="H44" s="174"/>
      <c r="I44" s="174"/>
      <c r="J44" s="174"/>
      <c r="K44" s="174"/>
      <c r="L44" s="174"/>
      <c r="M44" s="174"/>
      <c r="N44" s="693">
        <f t="shared" si="2"/>
        <v>0</v>
      </c>
    </row>
    <row r="45" spans="1:17" ht="18.75" customHeight="1" x14ac:dyDescent="0.25">
      <c r="A45" s="210"/>
      <c r="B45" s="210"/>
      <c r="C45" s="586"/>
      <c r="D45" s="174"/>
      <c r="E45" s="174"/>
      <c r="F45" s="174"/>
      <c r="G45" s="174"/>
      <c r="H45" s="174"/>
      <c r="I45" s="174"/>
      <c r="J45" s="174"/>
      <c r="K45" s="174"/>
      <c r="L45" s="174"/>
      <c r="M45" s="174"/>
      <c r="N45" s="693">
        <f t="shared" si="2"/>
        <v>0</v>
      </c>
    </row>
    <row r="46" spans="1:17" ht="18.75" customHeight="1" x14ac:dyDescent="0.25">
      <c r="A46" s="210"/>
      <c r="B46" s="210"/>
      <c r="C46" s="586"/>
      <c r="D46" s="174"/>
      <c r="E46" s="174"/>
      <c r="F46" s="174"/>
      <c r="G46" s="174"/>
      <c r="H46" s="174"/>
      <c r="I46" s="174"/>
      <c r="J46" s="174"/>
      <c r="K46" s="174"/>
      <c r="L46" s="174"/>
      <c r="M46" s="174"/>
      <c r="N46" s="693">
        <f t="shared" si="2"/>
        <v>0</v>
      </c>
    </row>
    <row r="47" spans="1:17" ht="18.75" customHeight="1" x14ac:dyDescent="0.25">
      <c r="A47" s="210"/>
      <c r="B47" s="210"/>
      <c r="C47" s="586"/>
      <c r="D47" s="174"/>
      <c r="E47" s="174"/>
      <c r="F47" s="174"/>
      <c r="G47" s="174"/>
      <c r="H47" s="174"/>
      <c r="I47" s="174"/>
      <c r="J47" s="174"/>
      <c r="K47" s="174"/>
      <c r="L47" s="174"/>
      <c r="M47" s="174"/>
      <c r="N47" s="693">
        <f t="shared" si="2"/>
        <v>0</v>
      </c>
    </row>
    <row r="48" spans="1:17" ht="18.75" customHeight="1" x14ac:dyDescent="0.25">
      <c r="A48" s="210"/>
      <c r="B48" s="210"/>
      <c r="C48" s="586"/>
      <c r="D48" s="174"/>
      <c r="E48" s="174"/>
      <c r="F48" s="174"/>
      <c r="G48" s="174"/>
      <c r="H48" s="174"/>
      <c r="I48" s="174"/>
      <c r="J48" s="174"/>
      <c r="K48" s="174"/>
      <c r="L48" s="174"/>
      <c r="M48" s="174"/>
      <c r="N48" s="693">
        <f t="shared" si="2"/>
        <v>0</v>
      </c>
    </row>
    <row r="49" spans="1:14" ht="18.75" customHeight="1" x14ac:dyDescent="0.25">
      <c r="A49" s="210"/>
      <c r="B49" s="210"/>
      <c r="C49" s="586"/>
      <c r="D49" s="174"/>
      <c r="E49" s="174"/>
      <c r="F49" s="174"/>
      <c r="G49" s="174"/>
      <c r="H49" s="174"/>
      <c r="I49" s="174"/>
      <c r="J49" s="174"/>
      <c r="K49" s="174"/>
      <c r="L49" s="174"/>
      <c r="M49" s="174"/>
      <c r="N49" s="693">
        <f t="shared" si="2"/>
        <v>0</v>
      </c>
    </row>
    <row r="50" spans="1:14" ht="18.75" customHeight="1" x14ac:dyDescent="0.25">
      <c r="A50" s="210"/>
      <c r="B50" s="210"/>
      <c r="C50" s="585" t="s">
        <v>469</v>
      </c>
      <c r="D50" s="174"/>
      <c r="E50" s="174"/>
      <c r="F50" s="174"/>
      <c r="G50" s="174"/>
      <c r="H50" s="174"/>
      <c r="I50" s="174"/>
      <c r="J50" s="174"/>
      <c r="K50" s="174"/>
      <c r="L50" s="174"/>
      <c r="M50" s="174"/>
      <c r="N50" s="693">
        <f t="shared" si="2"/>
        <v>0</v>
      </c>
    </row>
    <row r="51" spans="1:14" ht="18.75" customHeight="1" x14ac:dyDescent="0.25">
      <c r="A51" s="210"/>
      <c r="B51" s="210"/>
      <c r="C51" s="211"/>
      <c r="D51" s="174"/>
      <c r="E51" s="174"/>
      <c r="F51" s="174"/>
      <c r="G51" s="174"/>
      <c r="H51" s="174"/>
      <c r="I51" s="174"/>
      <c r="J51" s="174"/>
      <c r="K51" s="174"/>
      <c r="L51" s="174"/>
      <c r="M51" s="174"/>
      <c r="N51" s="693">
        <f t="shared" ref="N51:N66" si="3">SUM(D51:M51)</f>
        <v>0</v>
      </c>
    </row>
    <row r="52" spans="1:14" ht="18.75" customHeight="1" x14ac:dyDescent="0.25">
      <c r="A52" s="210"/>
      <c r="B52" s="210"/>
      <c r="C52" s="211"/>
      <c r="D52" s="174"/>
      <c r="E52" s="174"/>
      <c r="F52" s="174"/>
      <c r="G52" s="174"/>
      <c r="H52" s="174"/>
      <c r="I52" s="174"/>
      <c r="J52" s="174"/>
      <c r="K52" s="174"/>
      <c r="L52" s="174"/>
      <c r="M52" s="174"/>
      <c r="N52" s="693">
        <f t="shared" si="3"/>
        <v>0</v>
      </c>
    </row>
    <row r="53" spans="1:14" ht="18.75" customHeight="1" x14ac:dyDescent="0.25">
      <c r="A53" s="210"/>
      <c r="B53" s="210"/>
      <c r="C53" s="211"/>
      <c r="D53" s="174"/>
      <c r="E53" s="174"/>
      <c r="F53" s="174"/>
      <c r="G53" s="174"/>
      <c r="H53" s="174"/>
      <c r="I53" s="174"/>
      <c r="J53" s="174"/>
      <c r="K53" s="174"/>
      <c r="L53" s="174"/>
      <c r="M53" s="174"/>
      <c r="N53" s="693">
        <f t="shared" si="3"/>
        <v>0</v>
      </c>
    </row>
    <row r="54" spans="1:14" ht="18.75" customHeight="1" x14ac:dyDescent="0.25">
      <c r="A54" s="210"/>
      <c r="B54" s="210"/>
      <c r="C54" s="211"/>
      <c r="D54" s="174"/>
      <c r="E54" s="174"/>
      <c r="F54" s="174"/>
      <c r="G54" s="174"/>
      <c r="H54" s="174"/>
      <c r="I54" s="174"/>
      <c r="J54" s="174"/>
      <c r="K54" s="174"/>
      <c r="L54" s="174"/>
      <c r="M54" s="174"/>
      <c r="N54" s="693">
        <f t="shared" si="3"/>
        <v>0</v>
      </c>
    </row>
    <row r="55" spans="1:14" ht="18.75" customHeight="1" x14ac:dyDescent="0.25">
      <c r="A55" s="210"/>
      <c r="B55" s="210"/>
      <c r="C55" s="211"/>
      <c r="D55" s="174"/>
      <c r="E55" s="174"/>
      <c r="F55" s="174"/>
      <c r="G55" s="174"/>
      <c r="H55" s="174"/>
      <c r="I55" s="174"/>
      <c r="J55" s="174"/>
      <c r="K55" s="174"/>
      <c r="L55" s="174"/>
      <c r="M55" s="174"/>
      <c r="N55" s="693">
        <f t="shared" si="3"/>
        <v>0</v>
      </c>
    </row>
    <row r="56" spans="1:14" ht="18.75" customHeight="1" x14ac:dyDescent="0.25">
      <c r="A56" s="210"/>
      <c r="B56" s="210"/>
      <c r="C56" s="211"/>
      <c r="D56" s="174"/>
      <c r="E56" s="174"/>
      <c r="F56" s="174"/>
      <c r="G56" s="174"/>
      <c r="H56" s="174"/>
      <c r="I56" s="174"/>
      <c r="J56" s="174"/>
      <c r="K56" s="174"/>
      <c r="L56" s="174"/>
      <c r="M56" s="174"/>
      <c r="N56" s="693">
        <f t="shared" si="3"/>
        <v>0</v>
      </c>
    </row>
    <row r="57" spans="1:14" ht="18.75" customHeight="1" x14ac:dyDescent="0.25">
      <c r="A57" s="210"/>
      <c r="B57" s="210"/>
      <c r="C57" s="211"/>
      <c r="D57" s="174"/>
      <c r="E57" s="174"/>
      <c r="F57" s="174"/>
      <c r="G57" s="174"/>
      <c r="H57" s="174"/>
      <c r="I57" s="174"/>
      <c r="J57" s="174"/>
      <c r="K57" s="174"/>
      <c r="L57" s="174"/>
      <c r="M57" s="174"/>
      <c r="N57" s="693">
        <f t="shared" si="3"/>
        <v>0</v>
      </c>
    </row>
    <row r="58" spans="1:14" ht="18.75" customHeight="1" x14ac:dyDescent="0.25">
      <c r="A58" s="210"/>
      <c r="B58" s="210"/>
      <c r="C58" s="211"/>
      <c r="D58" s="174"/>
      <c r="E58" s="174"/>
      <c r="F58" s="174"/>
      <c r="G58" s="174"/>
      <c r="H58" s="174"/>
      <c r="I58" s="174"/>
      <c r="J58" s="174"/>
      <c r="K58" s="174"/>
      <c r="L58" s="174"/>
      <c r="M58" s="174"/>
      <c r="N58" s="693">
        <f t="shared" si="3"/>
        <v>0</v>
      </c>
    </row>
    <row r="59" spans="1:14" ht="18.75" customHeight="1" x14ac:dyDescent="0.25">
      <c r="A59" s="210"/>
      <c r="B59" s="210"/>
      <c r="C59" s="211"/>
      <c r="D59" s="174"/>
      <c r="E59" s="174"/>
      <c r="F59" s="174"/>
      <c r="G59" s="174"/>
      <c r="H59" s="174"/>
      <c r="I59" s="174"/>
      <c r="J59" s="174"/>
      <c r="K59" s="174"/>
      <c r="L59" s="174"/>
      <c r="M59" s="174"/>
      <c r="N59" s="693">
        <f t="shared" si="3"/>
        <v>0</v>
      </c>
    </row>
    <row r="60" spans="1:14" ht="18.75" customHeight="1" x14ac:dyDescent="0.25">
      <c r="A60" s="210"/>
      <c r="B60" s="210"/>
      <c r="C60" s="211"/>
      <c r="D60" s="174"/>
      <c r="E60" s="174"/>
      <c r="F60" s="174"/>
      <c r="G60" s="174"/>
      <c r="H60" s="174"/>
      <c r="I60" s="174"/>
      <c r="J60" s="174"/>
      <c r="K60" s="174"/>
      <c r="L60" s="174"/>
      <c r="M60" s="174"/>
      <c r="N60" s="693">
        <f t="shared" si="3"/>
        <v>0</v>
      </c>
    </row>
    <row r="61" spans="1:14" ht="18.75" customHeight="1" x14ac:dyDescent="0.25">
      <c r="A61" s="210"/>
      <c r="B61" s="210"/>
      <c r="C61" s="211"/>
      <c r="D61" s="174"/>
      <c r="E61" s="174"/>
      <c r="F61" s="174"/>
      <c r="G61" s="174"/>
      <c r="H61" s="174"/>
      <c r="I61" s="174"/>
      <c r="J61" s="174"/>
      <c r="K61" s="174"/>
      <c r="L61" s="174"/>
      <c r="M61" s="174"/>
      <c r="N61" s="693">
        <f t="shared" si="3"/>
        <v>0</v>
      </c>
    </row>
    <row r="62" spans="1:14" ht="18.75" customHeight="1" x14ac:dyDescent="0.25">
      <c r="A62" s="210"/>
      <c r="B62" s="210"/>
      <c r="C62" s="211"/>
      <c r="D62" s="174"/>
      <c r="E62" s="174"/>
      <c r="F62" s="174"/>
      <c r="G62" s="174"/>
      <c r="H62" s="174"/>
      <c r="I62" s="174"/>
      <c r="J62" s="174"/>
      <c r="K62" s="174"/>
      <c r="L62" s="174"/>
      <c r="M62" s="174"/>
      <c r="N62" s="693">
        <f t="shared" si="3"/>
        <v>0</v>
      </c>
    </row>
    <row r="63" spans="1:14" ht="18.75" customHeight="1" x14ac:dyDescent="0.25">
      <c r="A63" s="210"/>
      <c r="B63" s="210"/>
      <c r="C63" s="211"/>
      <c r="D63" s="174"/>
      <c r="E63" s="174"/>
      <c r="F63" s="174"/>
      <c r="G63" s="174"/>
      <c r="H63" s="174"/>
      <c r="I63" s="174"/>
      <c r="J63" s="174"/>
      <c r="K63" s="174"/>
      <c r="L63" s="174"/>
      <c r="M63" s="174"/>
      <c r="N63" s="693">
        <f t="shared" si="3"/>
        <v>0</v>
      </c>
    </row>
    <row r="64" spans="1:14" ht="18.75" customHeight="1" x14ac:dyDescent="0.25">
      <c r="A64" s="210"/>
      <c r="B64" s="210"/>
      <c r="C64" s="211"/>
      <c r="D64" s="174"/>
      <c r="E64" s="174"/>
      <c r="F64" s="174"/>
      <c r="G64" s="174"/>
      <c r="H64" s="174"/>
      <c r="I64" s="174"/>
      <c r="J64" s="174"/>
      <c r="K64" s="174"/>
      <c r="L64" s="174"/>
      <c r="M64" s="174"/>
      <c r="N64" s="693">
        <f t="shared" si="3"/>
        <v>0</v>
      </c>
    </row>
    <row r="65" spans="1:14" ht="13.8" x14ac:dyDescent="0.25">
      <c r="A65" s="210"/>
      <c r="B65" s="210"/>
      <c r="C65" s="211"/>
      <c r="D65" s="174"/>
      <c r="E65" s="174"/>
      <c r="F65" s="174"/>
      <c r="G65" s="174"/>
      <c r="H65" s="174"/>
      <c r="I65" s="174"/>
      <c r="J65" s="174"/>
      <c r="K65" s="400"/>
      <c r="L65" s="174"/>
      <c r="M65" s="400"/>
      <c r="N65" s="693">
        <f t="shared" si="3"/>
        <v>0</v>
      </c>
    </row>
    <row r="66" spans="1:14" ht="14.4" thickBot="1" x14ac:dyDescent="0.3">
      <c r="A66" s="210"/>
      <c r="B66" s="210"/>
      <c r="C66" s="532" t="s">
        <v>448</v>
      </c>
      <c r="D66" s="694">
        <f t="shared" ref="D66:M66" si="4">SUM(D34:D65)</f>
        <v>120175</v>
      </c>
      <c r="E66" s="694">
        <f t="shared" si="4"/>
        <v>123179</v>
      </c>
      <c r="F66" s="694">
        <f t="shared" si="4"/>
        <v>126259</v>
      </c>
      <c r="G66" s="694">
        <f t="shared" si="4"/>
        <v>129415</v>
      </c>
      <c r="H66" s="694">
        <f t="shared" si="4"/>
        <v>132651</v>
      </c>
      <c r="I66" s="694">
        <f t="shared" si="4"/>
        <v>0</v>
      </c>
      <c r="J66" s="694">
        <f t="shared" si="4"/>
        <v>0</v>
      </c>
      <c r="K66" s="694">
        <f t="shared" si="4"/>
        <v>0</v>
      </c>
      <c r="L66" s="694">
        <f t="shared" si="4"/>
        <v>0</v>
      </c>
      <c r="M66" s="694">
        <f t="shared" si="4"/>
        <v>0</v>
      </c>
      <c r="N66" s="693">
        <f t="shared" si="3"/>
        <v>631679</v>
      </c>
    </row>
    <row r="67" spans="1:14" ht="14.4" thickBot="1" x14ac:dyDescent="0.3">
      <c r="A67" s="210"/>
      <c r="B67" s="210"/>
      <c r="C67" s="532" t="s">
        <v>398</v>
      </c>
      <c r="D67" s="694">
        <f>D66</f>
        <v>120175</v>
      </c>
      <c r="E67" s="694">
        <f>D66+E66</f>
        <v>243354</v>
      </c>
      <c r="F67" s="694">
        <f>SUM(D66:F66)</f>
        <v>369613</v>
      </c>
      <c r="G67" s="694">
        <f>SUM(D66:G66)</f>
        <v>499028</v>
      </c>
      <c r="H67" s="694">
        <f>SUM(D66:H66)</f>
        <v>631679</v>
      </c>
      <c r="I67" s="694">
        <f>SUM(D66:I66)</f>
        <v>631679</v>
      </c>
      <c r="J67" s="694">
        <f>SUM(D66:J66)</f>
        <v>631679</v>
      </c>
      <c r="K67" s="694">
        <f>SUM(D66:K66)</f>
        <v>631679</v>
      </c>
      <c r="L67" s="694">
        <f>SUM(D66:L66)</f>
        <v>631679</v>
      </c>
      <c r="M67" s="694">
        <f>SUM(D66:M66)</f>
        <v>631679</v>
      </c>
      <c r="N67" s="498"/>
    </row>
    <row r="68" spans="1:14" ht="14.4" thickBot="1" x14ac:dyDescent="0.3">
      <c r="A68" s="210"/>
      <c r="B68" s="210"/>
      <c r="C68" s="495"/>
      <c r="D68" s="496"/>
      <c r="E68" s="496"/>
      <c r="F68" s="496"/>
      <c r="G68" s="496"/>
      <c r="H68" s="496"/>
      <c r="I68" s="496"/>
      <c r="J68" s="496"/>
      <c r="K68" s="497"/>
      <c r="L68" s="496"/>
      <c r="M68" s="497"/>
      <c r="N68" s="498"/>
    </row>
    <row r="69" spans="1:14" ht="21" customHeight="1" x14ac:dyDescent="0.25">
      <c r="A69" s="210"/>
      <c r="B69" s="210"/>
      <c r="C69" s="499" t="s">
        <v>363</v>
      </c>
      <c r="D69" s="500"/>
      <c r="E69" s="500"/>
      <c r="F69" s="500"/>
      <c r="G69" s="500"/>
      <c r="H69" s="500"/>
      <c r="I69" s="500"/>
      <c r="J69" s="500"/>
      <c r="K69" s="500"/>
      <c r="L69" s="500"/>
      <c r="M69" s="500"/>
      <c r="N69" s="501"/>
    </row>
    <row r="70" spans="1:14" ht="13.8" x14ac:dyDescent="0.25">
      <c r="A70" s="210"/>
      <c r="B70" s="210"/>
      <c r="C70" s="401"/>
      <c r="D70" s="174"/>
      <c r="E70" s="174"/>
      <c r="F70" s="174"/>
      <c r="G70" s="174"/>
      <c r="H70" s="174"/>
      <c r="I70" s="174"/>
      <c r="J70" s="174"/>
      <c r="K70" s="174"/>
      <c r="L70" s="174"/>
      <c r="M70" s="174"/>
      <c r="N70" s="693">
        <f>SUM(D70:M70)</f>
        <v>0</v>
      </c>
    </row>
    <row r="71" spans="1:14" ht="13.8" x14ac:dyDescent="0.25">
      <c r="A71" s="210"/>
      <c r="B71" s="210"/>
      <c r="C71" s="401"/>
      <c r="D71" s="174"/>
      <c r="E71" s="174"/>
      <c r="F71" s="174"/>
      <c r="G71" s="174"/>
      <c r="H71" s="174"/>
      <c r="I71" s="174"/>
      <c r="J71" s="174"/>
      <c r="K71" s="174"/>
      <c r="L71" s="174"/>
      <c r="M71" s="174"/>
      <c r="N71" s="693">
        <f t="shared" ref="N71:N84" si="5">SUM(D71:M71)</f>
        <v>0</v>
      </c>
    </row>
    <row r="72" spans="1:14" ht="13.8" x14ac:dyDescent="0.25">
      <c r="A72" s="210"/>
      <c r="B72" s="210"/>
      <c r="C72" s="401"/>
      <c r="D72" s="174"/>
      <c r="E72" s="174"/>
      <c r="F72" s="174"/>
      <c r="G72" s="174"/>
      <c r="H72" s="174"/>
      <c r="I72" s="174"/>
      <c r="J72" s="174"/>
      <c r="K72" s="174"/>
      <c r="L72" s="174"/>
      <c r="M72" s="174"/>
      <c r="N72" s="693">
        <f t="shared" si="5"/>
        <v>0</v>
      </c>
    </row>
    <row r="73" spans="1:14" ht="13.8" x14ac:dyDescent="0.25">
      <c r="A73" s="210"/>
      <c r="B73" s="210"/>
      <c r="C73" s="401"/>
      <c r="D73" s="174"/>
      <c r="E73" s="174"/>
      <c r="F73" s="174"/>
      <c r="G73" s="174"/>
      <c r="H73" s="174"/>
      <c r="I73" s="174"/>
      <c r="J73" s="174"/>
      <c r="K73" s="174"/>
      <c r="L73" s="174"/>
      <c r="M73" s="174"/>
      <c r="N73" s="693">
        <f t="shared" si="5"/>
        <v>0</v>
      </c>
    </row>
    <row r="74" spans="1:14" ht="13.8" x14ac:dyDescent="0.25">
      <c r="A74" s="210"/>
      <c r="B74" s="210"/>
      <c r="C74" s="401"/>
      <c r="D74" s="174"/>
      <c r="E74" s="174"/>
      <c r="F74" s="174"/>
      <c r="G74" s="174"/>
      <c r="H74" s="174"/>
      <c r="I74" s="174"/>
      <c r="J74" s="174"/>
      <c r="K74" s="174"/>
      <c r="L74" s="174"/>
      <c r="M74" s="174"/>
      <c r="N74" s="693">
        <f t="shared" si="5"/>
        <v>0</v>
      </c>
    </row>
    <row r="75" spans="1:14" ht="13.8" x14ac:dyDescent="0.25">
      <c r="A75" s="210"/>
      <c r="B75" s="210"/>
      <c r="C75" s="401"/>
      <c r="D75" s="174"/>
      <c r="E75" s="174"/>
      <c r="F75" s="174"/>
      <c r="G75" s="174"/>
      <c r="H75" s="174"/>
      <c r="I75" s="174"/>
      <c r="J75" s="174"/>
      <c r="K75" s="174"/>
      <c r="L75" s="174"/>
      <c r="M75" s="174"/>
      <c r="N75" s="693">
        <f t="shared" si="5"/>
        <v>0</v>
      </c>
    </row>
    <row r="76" spans="1:14" ht="13.8" x14ac:dyDescent="0.25">
      <c r="A76" s="210"/>
      <c r="B76" s="210"/>
      <c r="C76" s="401"/>
      <c r="D76" s="174"/>
      <c r="E76" s="174"/>
      <c r="F76" s="174"/>
      <c r="G76" s="174"/>
      <c r="H76" s="174"/>
      <c r="I76" s="174"/>
      <c r="J76" s="174"/>
      <c r="K76" s="174"/>
      <c r="L76" s="174"/>
      <c r="M76" s="174"/>
      <c r="N76" s="693">
        <f t="shared" si="5"/>
        <v>0</v>
      </c>
    </row>
    <row r="77" spans="1:14" ht="13.8" x14ac:dyDescent="0.25">
      <c r="A77" s="210"/>
      <c r="B77" s="210"/>
      <c r="C77" s="401"/>
      <c r="D77" s="174"/>
      <c r="E77" s="174"/>
      <c r="F77" s="174"/>
      <c r="G77" s="174"/>
      <c r="H77" s="174"/>
      <c r="I77" s="174"/>
      <c r="J77" s="174"/>
      <c r="K77" s="174"/>
      <c r="L77" s="174"/>
      <c r="M77" s="174"/>
      <c r="N77" s="693">
        <f t="shared" si="5"/>
        <v>0</v>
      </c>
    </row>
    <row r="78" spans="1:14" ht="13.8" x14ac:dyDescent="0.25">
      <c r="A78" s="210"/>
      <c r="B78" s="210"/>
      <c r="C78" s="401"/>
      <c r="D78" s="174"/>
      <c r="E78" s="174"/>
      <c r="F78" s="174"/>
      <c r="G78" s="174"/>
      <c r="H78" s="174"/>
      <c r="I78" s="174"/>
      <c r="J78" s="174"/>
      <c r="K78" s="174"/>
      <c r="L78" s="174"/>
      <c r="M78" s="174"/>
      <c r="N78" s="693">
        <f t="shared" si="5"/>
        <v>0</v>
      </c>
    </row>
    <row r="79" spans="1:14" ht="13.8" x14ac:dyDescent="0.25">
      <c r="A79" s="210"/>
      <c r="B79" s="210"/>
      <c r="C79" s="401"/>
      <c r="D79" s="174"/>
      <c r="E79" s="174"/>
      <c r="F79" s="174"/>
      <c r="G79" s="174"/>
      <c r="H79" s="174"/>
      <c r="I79" s="174"/>
      <c r="J79" s="174"/>
      <c r="K79" s="174"/>
      <c r="L79" s="174"/>
      <c r="M79" s="174"/>
      <c r="N79" s="693">
        <f t="shared" si="5"/>
        <v>0</v>
      </c>
    </row>
    <row r="80" spans="1:14" ht="13.8" x14ac:dyDescent="0.25">
      <c r="A80" s="210"/>
      <c r="B80" s="210"/>
      <c r="C80" s="401"/>
      <c r="D80" s="174"/>
      <c r="E80" s="174"/>
      <c r="F80" s="174"/>
      <c r="G80" s="174"/>
      <c r="H80" s="174"/>
      <c r="I80" s="174"/>
      <c r="J80" s="174"/>
      <c r="K80" s="174"/>
      <c r="L80" s="174"/>
      <c r="M80" s="174"/>
      <c r="N80" s="693">
        <f t="shared" si="5"/>
        <v>0</v>
      </c>
    </row>
    <row r="81" spans="1:14" ht="13.8" x14ac:dyDescent="0.25">
      <c r="A81" s="210"/>
      <c r="B81" s="210"/>
      <c r="C81" s="401"/>
      <c r="D81" s="174"/>
      <c r="E81" s="174"/>
      <c r="F81" s="174"/>
      <c r="G81" s="174"/>
      <c r="H81" s="174"/>
      <c r="I81" s="174"/>
      <c r="J81" s="174"/>
      <c r="K81" s="174"/>
      <c r="L81" s="174"/>
      <c r="M81" s="174"/>
      <c r="N81" s="693">
        <f t="shared" si="5"/>
        <v>0</v>
      </c>
    </row>
    <row r="82" spans="1:14" ht="13.8" x14ac:dyDescent="0.25">
      <c r="A82" s="210"/>
      <c r="B82" s="210"/>
      <c r="C82" s="401"/>
      <c r="D82" s="174"/>
      <c r="E82" s="174"/>
      <c r="F82" s="174"/>
      <c r="G82" s="174"/>
      <c r="H82" s="174"/>
      <c r="I82" s="174"/>
      <c r="J82" s="174"/>
      <c r="K82" s="174"/>
      <c r="L82" s="174"/>
      <c r="M82" s="174"/>
      <c r="N82" s="693">
        <f t="shared" si="5"/>
        <v>0</v>
      </c>
    </row>
    <row r="83" spans="1:14" ht="13.8" x14ac:dyDescent="0.25">
      <c r="A83" s="210"/>
      <c r="B83" s="210"/>
      <c r="C83" s="401"/>
      <c r="D83" s="174"/>
      <c r="E83" s="174"/>
      <c r="F83" s="174"/>
      <c r="G83" s="174"/>
      <c r="H83" s="174"/>
      <c r="I83" s="174"/>
      <c r="J83" s="174"/>
      <c r="K83" s="174"/>
      <c r="L83" s="174"/>
      <c r="M83" s="174"/>
      <c r="N83" s="693">
        <f t="shared" si="5"/>
        <v>0</v>
      </c>
    </row>
    <row r="84" spans="1:14" ht="13.8" x14ac:dyDescent="0.25">
      <c r="A84" s="210"/>
      <c r="B84" s="210"/>
      <c r="C84" s="401"/>
      <c r="D84" s="174"/>
      <c r="E84" s="174"/>
      <c r="F84" s="174"/>
      <c r="G84" s="174"/>
      <c r="H84" s="174"/>
      <c r="I84" s="174"/>
      <c r="J84" s="174"/>
      <c r="K84" s="174"/>
      <c r="L84" s="174"/>
      <c r="M84" s="174"/>
      <c r="N84" s="693">
        <f t="shared" si="5"/>
        <v>0</v>
      </c>
    </row>
    <row r="85" spans="1:14" ht="14.4" thickBot="1" x14ac:dyDescent="0.3">
      <c r="A85" s="210"/>
      <c r="B85" s="210"/>
      <c r="C85" s="532" t="s">
        <v>449</v>
      </c>
      <c r="D85" s="694">
        <f>SUM(D70:D84)</f>
        <v>0</v>
      </c>
      <c r="E85" s="694">
        <f t="shared" ref="E85:N85" si="6">SUM(E70:E84)</f>
        <v>0</v>
      </c>
      <c r="F85" s="694">
        <f t="shared" si="6"/>
        <v>0</v>
      </c>
      <c r="G85" s="694">
        <f t="shared" si="6"/>
        <v>0</v>
      </c>
      <c r="H85" s="694">
        <f t="shared" si="6"/>
        <v>0</v>
      </c>
      <c r="I85" s="694">
        <f t="shared" si="6"/>
        <v>0</v>
      </c>
      <c r="J85" s="694">
        <f t="shared" si="6"/>
        <v>0</v>
      </c>
      <c r="K85" s="694">
        <f t="shared" si="6"/>
        <v>0</v>
      </c>
      <c r="L85" s="694">
        <f t="shared" si="6"/>
        <v>0</v>
      </c>
      <c r="M85" s="694">
        <f t="shared" si="6"/>
        <v>0</v>
      </c>
      <c r="N85" s="693">
        <f t="shared" si="6"/>
        <v>0</v>
      </c>
    </row>
    <row r="86" spans="1:14" ht="14.4" thickBot="1" x14ac:dyDescent="0.3">
      <c r="A86" s="210"/>
      <c r="B86" s="210"/>
      <c r="C86" s="532" t="s">
        <v>398</v>
      </c>
      <c r="D86" s="694">
        <f>SUM(D85:D85)</f>
        <v>0</v>
      </c>
      <c r="E86" s="694">
        <f>SUM(D85:E85)</f>
        <v>0</v>
      </c>
      <c r="F86" s="694">
        <f>SUM(D85:F85)</f>
        <v>0</v>
      </c>
      <c r="G86" s="694">
        <f>SUM(D85:G85)</f>
        <v>0</v>
      </c>
      <c r="H86" s="694">
        <f>SUM(D85:H85)</f>
        <v>0</v>
      </c>
      <c r="I86" s="694">
        <f>SUM(D85:I85)</f>
        <v>0</v>
      </c>
      <c r="J86" s="694">
        <f>SUM(D85:J85)</f>
        <v>0</v>
      </c>
      <c r="K86" s="694">
        <f>SUM(D85:K85)</f>
        <v>0</v>
      </c>
      <c r="L86" s="694">
        <f>SUM(D85:L85)</f>
        <v>0</v>
      </c>
      <c r="M86" s="694">
        <f>SUM(D85:M85)</f>
        <v>0</v>
      </c>
      <c r="N86" s="498"/>
    </row>
    <row r="87" spans="1:14" ht="14.4" thickBot="1" x14ac:dyDescent="0.3">
      <c r="A87" s="210"/>
      <c r="B87" s="210"/>
      <c r="C87" s="502"/>
      <c r="D87" s="496"/>
      <c r="E87" s="496"/>
      <c r="F87" s="496"/>
      <c r="G87" s="496"/>
      <c r="H87" s="496"/>
      <c r="I87" s="496"/>
      <c r="J87" s="496"/>
      <c r="K87" s="497"/>
      <c r="L87" s="496"/>
      <c r="M87" s="497"/>
      <c r="N87" s="498"/>
    </row>
    <row r="88" spans="1:14" ht="17.399999999999999" customHeight="1" x14ac:dyDescent="0.25">
      <c r="A88" s="377"/>
      <c r="B88" s="377"/>
      <c r="C88" s="557" t="s">
        <v>705</v>
      </c>
      <c r="D88" s="558"/>
      <c r="E88" s="558"/>
      <c r="F88" s="558"/>
      <c r="G88" s="558"/>
      <c r="H88" s="558"/>
      <c r="I88" s="558"/>
      <c r="J88" s="558"/>
      <c r="K88" s="558"/>
      <c r="L88" s="558"/>
      <c r="M88" s="558"/>
      <c r="N88" s="559"/>
    </row>
    <row r="89" spans="1:14" ht="13.8" x14ac:dyDescent="0.25">
      <c r="A89" s="210"/>
      <c r="B89" s="210"/>
      <c r="C89" s="560"/>
      <c r="D89" s="174"/>
      <c r="E89" s="174"/>
      <c r="F89" s="174"/>
      <c r="G89" s="174"/>
      <c r="H89" s="174"/>
      <c r="I89" s="174"/>
      <c r="J89" s="174"/>
      <c r="K89" s="174"/>
      <c r="L89" s="174"/>
      <c r="M89" s="174"/>
      <c r="N89" s="695">
        <f>SUM(D89:M89)</f>
        <v>0</v>
      </c>
    </row>
    <row r="90" spans="1:14" ht="13.8" x14ac:dyDescent="0.25">
      <c r="A90" s="210"/>
      <c r="B90" s="210"/>
      <c r="C90" s="560"/>
      <c r="D90" s="174"/>
      <c r="E90" s="174"/>
      <c r="F90" s="174"/>
      <c r="G90" s="174"/>
      <c r="H90" s="174"/>
      <c r="I90" s="174"/>
      <c r="J90" s="174"/>
      <c r="K90" s="400"/>
      <c r="L90" s="174"/>
      <c r="M90" s="400"/>
      <c r="N90" s="695">
        <f t="shared" ref="N90:N98" si="7">SUM(D90:M90)</f>
        <v>0</v>
      </c>
    </row>
    <row r="91" spans="1:14" ht="13.8" x14ac:dyDescent="0.25">
      <c r="A91" s="210"/>
      <c r="B91" s="210"/>
      <c r="C91" s="560"/>
      <c r="D91" s="174"/>
      <c r="E91" s="174"/>
      <c r="F91" s="174"/>
      <c r="G91" s="174"/>
      <c r="H91" s="174"/>
      <c r="I91" s="174"/>
      <c r="J91" s="174"/>
      <c r="K91" s="400"/>
      <c r="L91" s="174"/>
      <c r="M91" s="400"/>
      <c r="N91" s="695">
        <f t="shared" si="7"/>
        <v>0</v>
      </c>
    </row>
    <row r="92" spans="1:14" ht="13.8" x14ac:dyDescent="0.25">
      <c r="A92" s="210"/>
      <c r="B92" s="210"/>
      <c r="C92" s="560"/>
      <c r="D92" s="174"/>
      <c r="E92" s="174"/>
      <c r="F92" s="174"/>
      <c r="G92" s="174"/>
      <c r="H92" s="174"/>
      <c r="I92" s="174"/>
      <c r="J92" s="174"/>
      <c r="K92" s="400"/>
      <c r="L92" s="174"/>
      <c r="M92" s="400"/>
      <c r="N92" s="695">
        <f t="shared" si="7"/>
        <v>0</v>
      </c>
    </row>
    <row r="93" spans="1:14" ht="13.8" x14ac:dyDescent="0.25">
      <c r="A93" s="210"/>
      <c r="B93" s="210"/>
      <c r="C93" s="560"/>
      <c r="D93" s="174"/>
      <c r="E93" s="174"/>
      <c r="F93" s="174"/>
      <c r="G93" s="174"/>
      <c r="H93" s="174"/>
      <c r="I93" s="174"/>
      <c r="J93" s="174"/>
      <c r="K93" s="400"/>
      <c r="L93" s="174"/>
      <c r="M93" s="400"/>
      <c r="N93" s="695">
        <f t="shared" si="7"/>
        <v>0</v>
      </c>
    </row>
    <row r="94" spans="1:14" ht="13.8" x14ac:dyDescent="0.25">
      <c r="A94" s="210"/>
      <c r="B94" s="210"/>
      <c r="C94" s="560"/>
      <c r="D94" s="174"/>
      <c r="E94" s="174"/>
      <c r="F94" s="174"/>
      <c r="G94" s="174"/>
      <c r="H94" s="174"/>
      <c r="I94" s="174"/>
      <c r="J94" s="174"/>
      <c r="K94" s="400"/>
      <c r="L94" s="174"/>
      <c r="M94" s="400"/>
      <c r="N94" s="695">
        <f t="shared" si="7"/>
        <v>0</v>
      </c>
    </row>
    <row r="95" spans="1:14" ht="13.8" x14ac:dyDescent="0.25">
      <c r="A95" s="210"/>
      <c r="B95" s="210"/>
      <c r="C95" s="560"/>
      <c r="D95" s="174"/>
      <c r="E95" s="174"/>
      <c r="F95" s="174"/>
      <c r="G95" s="174"/>
      <c r="H95" s="174"/>
      <c r="I95" s="174"/>
      <c r="J95" s="174"/>
      <c r="K95" s="400"/>
      <c r="L95" s="174"/>
      <c r="M95" s="400"/>
      <c r="N95" s="695">
        <f t="shared" si="7"/>
        <v>0</v>
      </c>
    </row>
    <row r="96" spans="1:14" ht="13.8" x14ac:dyDescent="0.25">
      <c r="A96" s="210"/>
      <c r="B96" s="210"/>
      <c r="C96" s="560"/>
      <c r="D96" s="174"/>
      <c r="E96" s="174"/>
      <c r="F96" s="174"/>
      <c r="G96" s="174"/>
      <c r="H96" s="174"/>
      <c r="I96" s="174"/>
      <c r="J96" s="174"/>
      <c r="K96" s="400"/>
      <c r="L96" s="174"/>
      <c r="M96" s="400"/>
      <c r="N96" s="695">
        <f t="shared" si="7"/>
        <v>0</v>
      </c>
    </row>
    <row r="97" spans="1:14" ht="13.8" x14ac:dyDescent="0.25">
      <c r="A97" s="210"/>
      <c r="B97" s="210"/>
      <c r="C97" s="560"/>
      <c r="D97" s="174"/>
      <c r="E97" s="174"/>
      <c r="F97" s="174"/>
      <c r="G97" s="174"/>
      <c r="H97" s="174"/>
      <c r="I97" s="174"/>
      <c r="J97" s="174"/>
      <c r="K97" s="400"/>
      <c r="L97" s="174"/>
      <c r="M97" s="400"/>
      <c r="N97" s="695">
        <f t="shared" si="7"/>
        <v>0</v>
      </c>
    </row>
    <row r="98" spans="1:14" ht="13.8" x14ac:dyDescent="0.25">
      <c r="A98" s="210"/>
      <c r="B98" s="210"/>
      <c r="C98" s="560"/>
      <c r="D98" s="174"/>
      <c r="E98" s="174"/>
      <c r="F98" s="174"/>
      <c r="G98" s="174"/>
      <c r="H98" s="174"/>
      <c r="I98" s="174"/>
      <c r="J98" s="174"/>
      <c r="K98" s="400"/>
      <c r="L98" s="174"/>
      <c r="M98" s="400"/>
      <c r="N98" s="695">
        <f t="shared" si="7"/>
        <v>0</v>
      </c>
    </row>
    <row r="99" spans="1:14" ht="14.4" thickBot="1" x14ac:dyDescent="0.3">
      <c r="A99" s="210"/>
      <c r="B99" s="210"/>
      <c r="C99" s="561" t="s">
        <v>449</v>
      </c>
      <c r="D99" s="694">
        <f t="shared" ref="D99:M99" si="8">SUM(D89:D98)</f>
        <v>0</v>
      </c>
      <c r="E99" s="694">
        <f t="shared" si="8"/>
        <v>0</v>
      </c>
      <c r="F99" s="694">
        <f t="shared" si="8"/>
        <v>0</v>
      </c>
      <c r="G99" s="694">
        <f t="shared" si="8"/>
        <v>0</v>
      </c>
      <c r="H99" s="694">
        <f t="shared" si="8"/>
        <v>0</v>
      </c>
      <c r="I99" s="694">
        <f t="shared" si="8"/>
        <v>0</v>
      </c>
      <c r="J99" s="694">
        <f t="shared" si="8"/>
        <v>0</v>
      </c>
      <c r="K99" s="694">
        <f t="shared" si="8"/>
        <v>0</v>
      </c>
      <c r="L99" s="694">
        <f t="shared" si="8"/>
        <v>0</v>
      </c>
      <c r="M99" s="694">
        <f t="shared" si="8"/>
        <v>0</v>
      </c>
      <c r="N99" s="695">
        <f>SUM(D99:M99)</f>
        <v>0</v>
      </c>
    </row>
    <row r="100" spans="1:14" ht="14.4" thickBot="1" x14ac:dyDescent="0.3">
      <c r="A100" s="210"/>
      <c r="B100" s="210"/>
      <c r="C100" s="561" t="s">
        <v>398</v>
      </c>
      <c r="D100" s="694">
        <f>SUM(D89:D98)</f>
        <v>0</v>
      </c>
      <c r="E100" s="694">
        <f>SUM(D99:E99)</f>
        <v>0</v>
      </c>
      <c r="F100" s="694">
        <f>SUM(D99:F99)</f>
        <v>0</v>
      </c>
      <c r="G100" s="694">
        <f>SUM(D99:G99)</f>
        <v>0</v>
      </c>
      <c r="H100" s="694">
        <f>SUM(D99:H99)</f>
        <v>0</v>
      </c>
      <c r="I100" s="694">
        <f>SUM(D99:I99)</f>
        <v>0</v>
      </c>
      <c r="J100" s="694">
        <f>SUM(D99:J99)</f>
        <v>0</v>
      </c>
      <c r="K100" s="694">
        <f>SUM(D99:K99)</f>
        <v>0</v>
      </c>
      <c r="L100" s="694">
        <f>SUM(D99:L99)</f>
        <v>0</v>
      </c>
      <c r="M100" s="694">
        <f>SUM(D99:M99)</f>
        <v>0</v>
      </c>
      <c r="N100" s="498"/>
    </row>
    <row r="101" spans="1:14" ht="14.4" thickBot="1" x14ac:dyDescent="0.3">
      <c r="A101" s="210"/>
      <c r="B101" s="210"/>
      <c r="C101" s="495"/>
      <c r="D101" s="496"/>
      <c r="E101" s="496"/>
      <c r="F101" s="496"/>
      <c r="G101" s="496"/>
      <c r="H101" s="496"/>
      <c r="I101" s="496"/>
      <c r="J101" s="496"/>
      <c r="K101" s="497"/>
      <c r="L101" s="496"/>
      <c r="M101" s="497"/>
      <c r="N101" s="498"/>
    </row>
    <row r="102" spans="1:14" ht="33" customHeight="1" x14ac:dyDescent="0.25">
      <c r="A102" s="210"/>
      <c r="B102" s="210"/>
      <c r="C102" s="562" t="s">
        <v>693</v>
      </c>
      <c r="D102" s="696">
        <f>D66+D85+D99</f>
        <v>120175</v>
      </c>
      <c r="E102" s="696">
        <f t="shared" ref="E102:N102" si="9">E66+E85+E99</f>
        <v>123179</v>
      </c>
      <c r="F102" s="696">
        <f t="shared" si="9"/>
        <v>126259</v>
      </c>
      <c r="G102" s="696">
        <f t="shared" si="9"/>
        <v>129415</v>
      </c>
      <c r="H102" s="696">
        <f t="shared" si="9"/>
        <v>132651</v>
      </c>
      <c r="I102" s="696">
        <f t="shared" si="9"/>
        <v>0</v>
      </c>
      <c r="J102" s="696">
        <f t="shared" si="9"/>
        <v>0</v>
      </c>
      <c r="K102" s="696">
        <f t="shared" si="9"/>
        <v>0</v>
      </c>
      <c r="L102" s="696">
        <f t="shared" si="9"/>
        <v>0</v>
      </c>
      <c r="M102" s="696">
        <f t="shared" si="9"/>
        <v>0</v>
      </c>
      <c r="N102" s="697">
        <f t="shared" si="9"/>
        <v>631679</v>
      </c>
    </row>
    <row r="103" spans="1:14" ht="27.6" x14ac:dyDescent="0.25">
      <c r="A103" s="210"/>
      <c r="B103" s="210"/>
      <c r="C103" s="562" t="s">
        <v>394</v>
      </c>
      <c r="D103" s="696">
        <f t="shared" ref="D103:M103" si="10">D29-D102</f>
        <v>-7.4460431933403015E-2</v>
      </c>
      <c r="E103" s="696">
        <f t="shared" si="10"/>
        <v>0.29867805540561676</v>
      </c>
      <c r="F103" s="696">
        <f t="shared" si="10"/>
        <v>-0.21885499358177185</v>
      </c>
      <c r="G103" s="696">
        <f t="shared" si="10"/>
        <v>0.25067363306879997</v>
      </c>
      <c r="H103" s="696">
        <f t="shared" si="10"/>
        <v>-0.36805952340364456</v>
      </c>
      <c r="I103" s="696">
        <f t="shared" si="10"/>
        <v>0</v>
      </c>
      <c r="J103" s="696">
        <f t="shared" si="10"/>
        <v>0</v>
      </c>
      <c r="K103" s="696">
        <f t="shared" si="10"/>
        <v>0</v>
      </c>
      <c r="L103" s="696">
        <f t="shared" si="10"/>
        <v>0</v>
      </c>
      <c r="M103" s="696">
        <f t="shared" si="10"/>
        <v>0</v>
      </c>
      <c r="N103" s="698">
        <f>SUM(D103:M103)</f>
        <v>-0.11202326044440269</v>
      </c>
    </row>
    <row r="104" spans="1:14" ht="12" thickBot="1" x14ac:dyDescent="0.25">
      <c r="A104" s="210"/>
      <c r="B104" s="210"/>
      <c r="C104" s="563"/>
      <c r="D104" s="564"/>
      <c r="E104" s="564"/>
      <c r="F104" s="564"/>
      <c r="G104" s="564"/>
      <c r="H104" s="564"/>
      <c r="I104" s="564"/>
      <c r="J104" s="564"/>
      <c r="K104" s="565"/>
      <c r="L104" s="564"/>
      <c r="M104" s="565"/>
      <c r="N104" s="566"/>
    </row>
  </sheetData>
  <sheetProtection password="CC77" sheet="1"/>
  <mergeCells count="10">
    <mergeCell ref="C2:F2"/>
    <mergeCell ref="C27:N27"/>
    <mergeCell ref="C33:N33"/>
    <mergeCell ref="D23:N23"/>
    <mergeCell ref="B4:N4"/>
    <mergeCell ref="B8:N8"/>
    <mergeCell ref="C24:N24"/>
    <mergeCell ref="C9:N18"/>
    <mergeCell ref="C31:N31"/>
    <mergeCell ref="N25:N26"/>
  </mergeCells>
  <phoneticPr fontId="17" type="noConversion"/>
  <dataValidations xWindow="140" yWindow="414" count="13">
    <dataValidation allowBlank="1" showInputMessage="1" showErrorMessage="1" promptTitle="Sum of total spending" prompt="All individual spending allocations should be summed for each of the 10 years to calculate the council's total proposed spending for each year._x000a_" sqref="C102"/>
    <dataValidation allowBlank="1" showInputMessage="1" showErrorMessage="1" prompt="This shows the difference between the council's total proposed spending program and the total additional funding available to the council from the SV._x000a__x000a_It may not = 0 if a council seeks an SV partly or wholly to enhance its financial sustainability." sqref="C103"/>
    <dataValidation allowBlank="1" showErrorMessage="1" promptTitle="Debt servicing costs" prompt="Include the associated debt servicing costs as relevant across the proposed program of expenditure._x000a__x000a_Delete this heading and associated rows if this is not part of the council's application." sqref="C101"/>
    <dataValidation allowBlank="1" showInputMessage="1" showErrorMessage="1" promptTitle="Enhanced services" prompt="Include programs to be funded by the additional SV income for which service levels will be enhanced eg, sustainability program._x000a__x000a_Include additional rows if needed._x000a__x000a_Delete this heading and associated rows if this is not part of the council's application." sqref="C50:C52"/>
    <dataValidation allowBlank="1" showInputMessage="1" showErrorMessage="1" promptTitle="New projects/services" prompt="Include new projects or services to be funded by the additional SV income eg, city centre upgrade, new sports centre._x000a__x000a_Include additional rows if needed._x000a__x000a_Delete this heading and associated rows if this is not part of the council's application." sqref="C69"/>
    <dataValidation allowBlank="1" showInputMessage="1" showErrorMessage="1" promptTitle="Additional SRV income" prompt="For SVs over 3 years and longer, the council should input the cumulative additional SV income for each year.  This excludes the rate peg income._x000a__x000a_Refer to Worksheet 1 (eg, cell J35) and subtract the cumulative rate peg income (F20 in this worksheet)." sqref="F30"/>
    <dataValidation allowBlank="1" showInputMessage="1" showErrorMessage="1" promptTitle="Maintenance of current services" prompt="Include programs to be funded by the additional SV income which will be maintained at current service levels eg, roads program._x000a__x000a_Include additional rows if needed._x000a__x000a_Delete this heading and associated rows if this is not part of the council's application." sqref="C34:C36"/>
    <dataValidation allowBlank="1" showInputMessage="1" showErrorMessage="1" promptTitle="Additional SV income" prompt="The cumulative additional SV income for each year excludes the rate peg income._x000a__x000a_Refer to Worksheet 1 and subtract the cumulative rate peg income (M73) from cumulative income with the SV (J73)." sqref="F29"/>
    <dataValidation allowBlank="1" showInputMessage="1" showErrorMessage="1" promptTitle="Maintenance of current services" sqref="C32"/>
    <dataValidation allowBlank="1" showInputMessage="1" showErrorMessage="1" promptTitle="Additional SV income" prompt="The cumulative additional SV income for each year excludes the rate peg income._x000a__x000a_Refer to Worksheet 1 and subtract the cumulative rate peg income (M77) from cumulative income with the SV (J77)." sqref="J29"/>
    <dataValidation allowBlank="1" showInputMessage="1" showErrorMessage="1" promptTitle="Additional SV income" prompt="The cumulative additional SV income for each year excludes the rate peg income._x000a__x000a_Refer to Worksheet 1 and subtract the cumulative rate peg income (M76) from cumulative income with the SV (J76)." sqref="I29"/>
    <dataValidation allowBlank="1" showInputMessage="1" showErrorMessage="1" promptTitle="Additional SV income" prompt="The cumulative additional SV income for each year excludes the rate peg income._x000a__x000a_Refer to Worksheet 1 and subtract the cumulative rate peg income (M75) from cumulative income with the SV (J75)." sqref="H29"/>
    <dataValidation allowBlank="1" showInputMessage="1" showErrorMessage="1" promptTitle="Additional SV income" prompt="The cumulative additional SV income for each year excludes the rate peg income._x000a__x000a_Refer to Worksheet 1 and subtract the cumulative rate peg income (M74) from cumulative income with the SV (J74)." sqref="G29"/>
  </dataValidations>
  <printOptions horizontalCentered="1"/>
  <pageMargins left="0.11811023622047245" right="0.11811023622047245" top="0.19685039370078741" bottom="0.19685039370078741" header="0.11811023622047245" footer="0.19685039370078741"/>
  <pageSetup paperSize="9" scale="5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Instructions</vt:lpstr>
      <vt:lpstr>WK0 - Input data</vt:lpstr>
      <vt:lpstr>WK1 - Identification</vt:lpstr>
      <vt:lpstr>WK2 - Notional General Income</vt:lpstr>
      <vt:lpstr>WK3 - Notional GI Yr1 YIELD</vt:lpstr>
      <vt:lpstr>WK4 - PGI summary</vt:lpstr>
      <vt:lpstr>WK5a - Impact on Rates</vt:lpstr>
      <vt:lpstr>WK5b - Impact on Rates</vt:lpstr>
      <vt:lpstr>WK6 - Expenditure Program</vt:lpstr>
      <vt:lpstr>WK7 - Long Term Financial Plan</vt:lpstr>
      <vt:lpstr>Instructions!Print_Area</vt:lpstr>
      <vt:lpstr>'WK1 - Identification'!Print_Area</vt:lpstr>
      <vt:lpstr>'WK2 - Notional General Income'!Print_Area</vt:lpstr>
      <vt:lpstr>'WK3 - Notional GI Yr1 YIELD'!Print_Area</vt:lpstr>
      <vt:lpstr>'WK4 - PGI summary'!Print_Area</vt:lpstr>
      <vt:lpstr>'WK5a - Impact on Rates'!Print_Area</vt:lpstr>
      <vt:lpstr>'WK5b - Impact on Rates'!Print_Area</vt:lpstr>
      <vt:lpstr>'WK6 - Expenditure Program'!Print_Area</vt:lpstr>
      <vt:lpstr>'WK2 - Notional General Income'!S2_Annual_Charges_Sub_Total</vt:lpstr>
      <vt:lpstr>S2_Annual_Charges_Sub_Total</vt:lpstr>
      <vt:lpstr>'WK2 - Notional General Income'!S2_Ordinary_Rates_Sub_Total</vt:lpstr>
      <vt:lpstr>S2_Ordinary_Rates_Sub_Total</vt:lpstr>
      <vt:lpstr>'WK2 - Notional General Income'!S2_Special_Rates_Sub_Total</vt:lpstr>
      <vt:lpstr>S2_Special_Rates_Sub_Total</vt:lpstr>
      <vt:lpstr>Total_First_year_Notional_General_Income_Yield</vt:lpstr>
      <vt:lpstr>Total_Prior_year_Notional_General_Income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Haddock</dc:creator>
  <cp:lastModifiedBy>Arsh Suri</cp:lastModifiedBy>
  <cp:lastPrinted>2018-02-08T02:57:28Z</cp:lastPrinted>
  <dcterms:created xsi:type="dcterms:W3CDTF">1998-01-08T05:01:38Z</dcterms:created>
  <dcterms:modified xsi:type="dcterms:W3CDTF">2018-02-12T23:26:21Z</dcterms:modified>
</cp:coreProperties>
</file>