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6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958" activeTab="1"/>
  </bookViews>
  <sheets>
    <sheet name="Assumptions" sheetId="1" r:id="rId1"/>
    <sheet name="Income Statement" sheetId="13" r:id="rId2"/>
    <sheet name="Balance Sheet" sheetId="14" r:id="rId3"/>
    <sheet name="Cashflow Statement" sheetId="15" r:id="rId4"/>
    <sheet name="Performance Statement" sheetId="25" r:id="rId5"/>
    <sheet name="Funding Statement" sheetId="16" r:id="rId6"/>
    <sheet name="Capital Exp Statement" sheetId="17" r:id="rId7"/>
    <sheet name="Reserves" sheetId="18" r:id="rId8"/>
    <sheet name="Note 3" sheetId="5" r:id="rId9"/>
    <sheet name="Note 4 to 5" sheetId="6" r:id="rId10"/>
    <sheet name="Note 6 to 8" sheetId="10" r:id="rId11"/>
    <sheet name="Note 9" sheetId="7" r:id="rId12"/>
    <sheet name="Note 10 to 11" sheetId="12" r:id="rId13"/>
    <sheet name="Note 13" sheetId="20" r:id="rId14"/>
    <sheet name="Note 13 Works" sheetId="19" r:id="rId15"/>
    <sheet name="Performance Works" sheetId="21" r:id="rId16"/>
    <sheet name="Capital Works" sheetId="8" r:id="rId17"/>
    <sheet name="SS7" sheetId="23" r:id="rId18"/>
    <sheet name="SS7 Work" sheetId="22" r:id="rId19"/>
    <sheet name="Cashflow Works" sheetId="11" r:id="rId20"/>
    <sheet name="TB" sheetId="4" r:id="rId21"/>
    <sheet name="Salaries" sheetId="26" r:id="rId22"/>
    <sheet name="Manual Adjust" sheetId="3" r:id="rId23"/>
    <sheet name="Parameters" sheetId="2" r:id="rId24"/>
    <sheet name="Depreciable Cost" sheetId="9" r:id="rId25"/>
    <sheet name="Checklist" sheetId="2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0" hidden="1">TB!$A$5:$E$310</definedName>
    <definedName name="BASE_YR">Parameters!$B$6</definedName>
    <definedName name="InterestRate">'Note 4 to 5'!$E$4</definedName>
    <definedName name="MODEL_NAME">Parameters!$B$4</definedName>
    <definedName name="PaymentsPerYear">'Note 4 to 5'!$E$6</definedName>
    <definedName name="_xlnm.Print_Area" localSheetId="2">'Balance Sheet'!$A$1:$L$51</definedName>
    <definedName name="_xlnm.Print_Area" localSheetId="6">'Capital Exp Statement'!$A$1:$L$41</definedName>
    <definedName name="_xlnm.Print_Area" localSheetId="3">'Cashflow Statement'!$A$1:$L$44</definedName>
    <definedName name="_xlnm.Print_Area" localSheetId="5">'Funding Statement'!$A$1:$L$42</definedName>
    <definedName name="_xlnm.Print_Area" localSheetId="1">'Income Statement'!$A$1:$L$42</definedName>
    <definedName name="_xlnm.Print_Area" localSheetId="4">'Performance Statement'!$A$1:$N$43</definedName>
    <definedName name="_xlnm.Print_Area" localSheetId="7">Reserves!$A$1:$L$33</definedName>
    <definedName name="_xlnm.Print_Titles" localSheetId="4">'Performance Statement'!$1:$7</definedName>
    <definedName name="RATE_INCR">Parameters!$B$7</definedName>
    <definedName name="RATE_PEG">Parameters!$B$8</definedName>
    <definedName name="SENARIO_NAME">Parameters!$B$5</definedName>
  </definedNames>
  <calcPr calcId="152511"/>
</workbook>
</file>

<file path=xl/calcChain.xml><?xml version="1.0" encoding="utf-8"?>
<calcChain xmlns="http://schemas.openxmlformats.org/spreadsheetml/2006/main">
  <c r="D65" i="22" l="1"/>
  <c r="E65" i="22" s="1"/>
  <c r="F65" i="22" s="1"/>
  <c r="G65" i="22" s="1"/>
  <c r="H65" i="22" s="1"/>
  <c r="I65" i="22" s="1"/>
  <c r="J65" i="22" s="1"/>
  <c r="K65" i="22" s="1"/>
  <c r="L65" i="22" s="1"/>
  <c r="D66" i="22"/>
  <c r="E66" i="22" s="1"/>
  <c r="F66" i="22" s="1"/>
  <c r="G66" i="22" s="1"/>
  <c r="H66" i="22" s="1"/>
  <c r="I66" i="22" s="1"/>
  <c r="J66" i="22" s="1"/>
  <c r="K66" i="22" s="1"/>
  <c r="L66" i="22" s="1"/>
  <c r="D67" i="22"/>
  <c r="E67" i="22"/>
  <c r="F67" i="22" s="1"/>
  <c r="G67" i="22" s="1"/>
  <c r="H67" i="22" s="1"/>
  <c r="I67" i="22" s="1"/>
  <c r="J67" i="22" s="1"/>
  <c r="K67" i="22" s="1"/>
  <c r="L67" i="22" s="1"/>
  <c r="D68" i="22"/>
  <c r="E68" i="22" s="1"/>
  <c r="F68" i="22" s="1"/>
  <c r="G68" i="22" s="1"/>
  <c r="H68" i="22" s="1"/>
  <c r="I68" i="22" s="1"/>
  <c r="J68" i="22" s="1"/>
  <c r="K68" i="22" s="1"/>
  <c r="L68" i="22" s="1"/>
  <c r="D69" i="22"/>
  <c r="E69" i="22" s="1"/>
  <c r="F69" i="22" s="1"/>
  <c r="G69" i="22" s="1"/>
  <c r="H69" i="22" s="1"/>
  <c r="I69" i="22" s="1"/>
  <c r="J69" i="22" s="1"/>
  <c r="K69" i="22" s="1"/>
  <c r="L69" i="22" s="1"/>
  <c r="D70" i="22"/>
  <c r="E70" i="22" s="1"/>
  <c r="F70" i="22" s="1"/>
  <c r="G70" i="22" s="1"/>
  <c r="H70" i="22" s="1"/>
  <c r="I70" i="22" s="1"/>
  <c r="J70" i="22" s="1"/>
  <c r="K70" i="22" s="1"/>
  <c r="L70" i="22" s="1"/>
  <c r="C70" i="22"/>
  <c r="C69" i="22"/>
  <c r="C68" i="22"/>
  <c r="C67" i="22"/>
  <c r="C66" i="22"/>
  <c r="C65" i="22"/>
  <c r="D38" i="22"/>
  <c r="E38" i="22" s="1"/>
  <c r="F38" i="22" s="1"/>
  <c r="G38" i="22" s="1"/>
  <c r="H38" i="22" s="1"/>
  <c r="I38" i="22" s="1"/>
  <c r="J38" i="22" s="1"/>
  <c r="K38" i="22" s="1"/>
  <c r="L38" i="22" s="1"/>
  <c r="D39" i="22"/>
  <c r="E39" i="22" s="1"/>
  <c r="F39" i="22" s="1"/>
  <c r="G39" i="22" s="1"/>
  <c r="H39" i="22" s="1"/>
  <c r="I39" i="22" s="1"/>
  <c r="J39" i="22" s="1"/>
  <c r="K39" i="22" s="1"/>
  <c r="L39" i="22" s="1"/>
  <c r="D40" i="22"/>
  <c r="E40" i="22"/>
  <c r="F40" i="22" s="1"/>
  <c r="G40" i="22" s="1"/>
  <c r="H40" i="22" s="1"/>
  <c r="I40" i="22" s="1"/>
  <c r="J40" i="22" s="1"/>
  <c r="K40" i="22" s="1"/>
  <c r="L40" i="22" s="1"/>
  <c r="D41" i="22"/>
  <c r="E41" i="22" s="1"/>
  <c r="F41" i="22" s="1"/>
  <c r="G41" i="22" s="1"/>
  <c r="H41" i="22" s="1"/>
  <c r="I41" i="22" s="1"/>
  <c r="J41" i="22" s="1"/>
  <c r="K41" i="22" s="1"/>
  <c r="L41" i="22" s="1"/>
  <c r="D42" i="22"/>
  <c r="E42" i="22" s="1"/>
  <c r="F42" i="22" s="1"/>
  <c r="G42" i="22" s="1"/>
  <c r="H42" i="22" s="1"/>
  <c r="I42" i="22" s="1"/>
  <c r="J42" i="22" s="1"/>
  <c r="K42" i="22" s="1"/>
  <c r="L42" i="22" s="1"/>
  <c r="D43" i="22"/>
  <c r="E43" i="22" s="1"/>
  <c r="F43" i="22" s="1"/>
  <c r="G43" i="22" s="1"/>
  <c r="H43" i="22" s="1"/>
  <c r="I43" i="22" s="1"/>
  <c r="J43" i="22" s="1"/>
  <c r="K43" i="22" s="1"/>
  <c r="L43" i="22" s="1"/>
  <c r="C41" i="22"/>
  <c r="C43" i="22"/>
  <c r="C42" i="22"/>
  <c r="C40" i="22"/>
  <c r="C39" i="22"/>
  <c r="C38" i="22"/>
  <c r="D50" i="12"/>
  <c r="E50" i="12" s="1"/>
  <c r="F50" i="12" s="1"/>
  <c r="G50" i="12" s="1"/>
  <c r="H50" i="12" s="1"/>
  <c r="I50" i="12" s="1"/>
  <c r="J50" i="12" s="1"/>
  <c r="K50" i="12" s="1"/>
  <c r="L50" i="12" s="1"/>
  <c r="D51" i="12"/>
  <c r="E51" i="12"/>
  <c r="F51" i="12"/>
  <c r="G51" i="12" s="1"/>
  <c r="H51" i="12" s="1"/>
  <c r="I51" i="12" s="1"/>
  <c r="J51" i="12" s="1"/>
  <c r="K51" i="12" s="1"/>
  <c r="L51" i="12" s="1"/>
  <c r="C51" i="12"/>
  <c r="C50" i="12"/>
  <c r="D44" i="12"/>
  <c r="E44" i="12" s="1"/>
  <c r="F44" i="12" s="1"/>
  <c r="G44" i="12" s="1"/>
  <c r="H44" i="12" s="1"/>
  <c r="I44" i="12" s="1"/>
  <c r="J44" i="12" s="1"/>
  <c r="K44" i="12" s="1"/>
  <c r="L44" i="12" s="1"/>
  <c r="C44" i="12"/>
  <c r="D37" i="12"/>
  <c r="E37" i="12" s="1"/>
  <c r="F37" i="12" s="1"/>
  <c r="G37" i="12" s="1"/>
  <c r="H37" i="12" s="1"/>
  <c r="I37" i="12" s="1"/>
  <c r="J37" i="12" s="1"/>
  <c r="K37" i="12" s="1"/>
  <c r="L37" i="12" s="1"/>
  <c r="C37" i="12"/>
  <c r="D31" i="12"/>
  <c r="E31" i="12" s="1"/>
  <c r="F31" i="12" s="1"/>
  <c r="G31" i="12" s="1"/>
  <c r="H31" i="12" s="1"/>
  <c r="I31" i="12" s="1"/>
  <c r="J31" i="12" s="1"/>
  <c r="K31" i="12" s="1"/>
  <c r="L31" i="12" s="1"/>
  <c r="D29" i="12"/>
  <c r="E29" i="12" s="1"/>
  <c r="F29" i="12" s="1"/>
  <c r="G29" i="12" s="1"/>
  <c r="H29" i="12" s="1"/>
  <c r="I29" i="12" s="1"/>
  <c r="J29" i="12" s="1"/>
  <c r="K29" i="12" s="1"/>
  <c r="L29" i="12" s="1"/>
  <c r="C31" i="12"/>
  <c r="C29" i="12"/>
  <c r="D14" i="12"/>
  <c r="E14" i="12" s="1"/>
  <c r="F14" i="12" s="1"/>
  <c r="G14" i="12" s="1"/>
  <c r="H14" i="12" s="1"/>
  <c r="I14" i="12" s="1"/>
  <c r="J14" i="12" s="1"/>
  <c r="K14" i="12" s="1"/>
  <c r="L14" i="12" s="1"/>
  <c r="D15" i="12"/>
  <c r="E15" i="12" s="1"/>
  <c r="F15" i="12" s="1"/>
  <c r="G15" i="12" s="1"/>
  <c r="H15" i="12" s="1"/>
  <c r="I15" i="12" s="1"/>
  <c r="J15" i="12" s="1"/>
  <c r="K15" i="12" s="1"/>
  <c r="L15" i="12" s="1"/>
  <c r="C15" i="12"/>
  <c r="C14" i="12"/>
  <c r="D10" i="12"/>
  <c r="E10" i="12" s="1"/>
  <c r="F10" i="12" s="1"/>
  <c r="G10" i="12" s="1"/>
  <c r="H10" i="12" s="1"/>
  <c r="I10" i="12" s="1"/>
  <c r="J10" i="12" s="1"/>
  <c r="K10" i="12" s="1"/>
  <c r="L10" i="12" s="1"/>
  <c r="D11" i="12"/>
  <c r="E11" i="12" s="1"/>
  <c r="F11" i="12" s="1"/>
  <c r="G11" i="12" s="1"/>
  <c r="H11" i="12" s="1"/>
  <c r="I11" i="12" s="1"/>
  <c r="J11" i="12" s="1"/>
  <c r="K11" i="12" s="1"/>
  <c r="L11" i="12" s="1"/>
  <c r="C11" i="12"/>
  <c r="C10" i="12"/>
  <c r="D106" i="10"/>
  <c r="E106" i="10" s="1"/>
  <c r="F106" i="10" s="1"/>
  <c r="G106" i="10" s="1"/>
  <c r="H106" i="10" s="1"/>
  <c r="I106" i="10" s="1"/>
  <c r="J106" i="10" s="1"/>
  <c r="K106" i="10" s="1"/>
  <c r="L106" i="10" s="1"/>
  <c r="C106" i="10"/>
  <c r="D105" i="10"/>
  <c r="E105" i="10" s="1"/>
  <c r="F105" i="10" s="1"/>
  <c r="G105" i="10" s="1"/>
  <c r="H105" i="10" s="1"/>
  <c r="I105" i="10" s="1"/>
  <c r="J105" i="10" s="1"/>
  <c r="K105" i="10" s="1"/>
  <c r="L105" i="10" s="1"/>
  <c r="C105" i="10"/>
  <c r="D48" i="10"/>
  <c r="E48" i="10" s="1"/>
  <c r="F48" i="10" s="1"/>
  <c r="G48" i="10" s="1"/>
  <c r="H48" i="10" s="1"/>
  <c r="I48" i="10" s="1"/>
  <c r="J48" i="10" s="1"/>
  <c r="K48" i="10" s="1"/>
  <c r="L48" i="10" s="1"/>
  <c r="C48" i="10"/>
  <c r="B66" i="1"/>
  <c r="B64" i="1"/>
  <c r="B62" i="1"/>
  <c r="E77" i="6"/>
  <c r="F77" i="6"/>
  <c r="G77" i="6"/>
  <c r="H77" i="6"/>
  <c r="I77" i="6" s="1"/>
  <c r="J77" i="6" s="1"/>
  <c r="K77" i="6" s="1"/>
  <c r="L77" i="6" s="1"/>
  <c r="M77" i="6" s="1"/>
  <c r="E78" i="6"/>
  <c r="F78" i="6"/>
  <c r="G78" i="6"/>
  <c r="H78" i="6" s="1"/>
  <c r="I78" i="6" s="1"/>
  <c r="J78" i="6" s="1"/>
  <c r="K78" i="6" s="1"/>
  <c r="L78" i="6" s="1"/>
  <c r="M78" i="6" s="1"/>
  <c r="E79" i="6"/>
  <c r="F79" i="6"/>
  <c r="G79" i="6" s="1"/>
  <c r="H79" i="6" s="1"/>
  <c r="I79" i="6" s="1"/>
  <c r="J79" i="6" s="1"/>
  <c r="K79" i="6" s="1"/>
  <c r="L79" i="6" s="1"/>
  <c r="M79" i="6" s="1"/>
  <c r="E80" i="6"/>
  <c r="F80" i="6" s="1"/>
  <c r="G80" i="6" s="1"/>
  <c r="H80" i="6" s="1"/>
  <c r="I80" i="6" s="1"/>
  <c r="J80" i="6" s="1"/>
  <c r="K80" i="6" s="1"/>
  <c r="L80" i="6" s="1"/>
  <c r="M80" i="6" s="1"/>
  <c r="E81" i="6"/>
  <c r="F81" i="6"/>
  <c r="G81" i="6"/>
  <c r="H81" i="6"/>
  <c r="I81" i="6" s="1"/>
  <c r="J81" i="6" s="1"/>
  <c r="K81" i="6" s="1"/>
  <c r="L81" i="6" s="1"/>
  <c r="M81" i="6" s="1"/>
  <c r="E82" i="6"/>
  <c r="F82" i="6"/>
  <c r="G82" i="6"/>
  <c r="H82" i="6" s="1"/>
  <c r="I82" i="6" s="1"/>
  <c r="J82" i="6" s="1"/>
  <c r="K82" i="6" s="1"/>
  <c r="L82" i="6" s="1"/>
  <c r="M82" i="6" s="1"/>
  <c r="E83" i="6"/>
  <c r="F83" i="6"/>
  <c r="G83" i="6" s="1"/>
  <c r="H83" i="6" s="1"/>
  <c r="I83" i="6" s="1"/>
  <c r="J83" i="6" s="1"/>
  <c r="K83" i="6" s="1"/>
  <c r="L83" i="6" s="1"/>
  <c r="M83" i="6" s="1"/>
  <c r="E84" i="6"/>
  <c r="F84" i="6" s="1"/>
  <c r="G84" i="6" s="1"/>
  <c r="H84" i="6" s="1"/>
  <c r="I84" i="6" s="1"/>
  <c r="J84" i="6" s="1"/>
  <c r="K84" i="6" s="1"/>
  <c r="L84" i="6" s="1"/>
  <c r="M84" i="6" s="1"/>
  <c r="D84" i="6"/>
  <c r="D83" i="6"/>
  <c r="D82" i="6"/>
  <c r="D81" i="6"/>
  <c r="D80" i="6"/>
  <c r="D79" i="6"/>
  <c r="D78" i="6"/>
  <c r="E76" i="6"/>
  <c r="F76" i="6" s="1"/>
  <c r="G76" i="6" s="1"/>
  <c r="H76" i="6" s="1"/>
  <c r="I76" i="6" s="1"/>
  <c r="J76" i="6" s="1"/>
  <c r="K76" i="6" s="1"/>
  <c r="L76" i="6" s="1"/>
  <c r="M76" i="6" s="1"/>
  <c r="D76" i="6"/>
  <c r="E73" i="6"/>
  <c r="F73" i="6" s="1"/>
  <c r="G73" i="6" s="1"/>
  <c r="H73" i="6" s="1"/>
  <c r="I73" i="6" s="1"/>
  <c r="J73" i="6" s="1"/>
  <c r="K73" i="6" s="1"/>
  <c r="L73" i="6" s="1"/>
  <c r="M73" i="6" s="1"/>
  <c r="D73" i="6"/>
  <c r="E63" i="6"/>
  <c r="F63" i="6" s="1"/>
  <c r="G63" i="6" s="1"/>
  <c r="H63" i="6" s="1"/>
  <c r="I63" i="6" s="1"/>
  <c r="J63" i="6" s="1"/>
  <c r="K63" i="6" s="1"/>
  <c r="L63" i="6" s="1"/>
  <c r="M63" i="6" s="1"/>
  <c r="E64" i="6"/>
  <c r="F64" i="6" s="1"/>
  <c r="G64" i="6" s="1"/>
  <c r="H64" i="6" s="1"/>
  <c r="I64" i="6" s="1"/>
  <c r="J64" i="6" s="1"/>
  <c r="K64" i="6" s="1"/>
  <c r="L64" i="6" s="1"/>
  <c r="M64" i="6" s="1"/>
  <c r="E65" i="6"/>
  <c r="F65" i="6"/>
  <c r="G65" i="6" s="1"/>
  <c r="H65" i="6" s="1"/>
  <c r="I65" i="6" s="1"/>
  <c r="J65" i="6" s="1"/>
  <c r="K65" i="6" s="1"/>
  <c r="L65" i="6" s="1"/>
  <c r="M65" i="6" s="1"/>
  <c r="E67" i="6"/>
  <c r="F67" i="6" s="1"/>
  <c r="G67" i="6" s="1"/>
  <c r="H67" i="6" s="1"/>
  <c r="I67" i="6" s="1"/>
  <c r="J67" i="6" s="1"/>
  <c r="K67" i="6" s="1"/>
  <c r="L67" i="6" s="1"/>
  <c r="M67" i="6" s="1"/>
  <c r="E68" i="6"/>
  <c r="F68" i="6" s="1"/>
  <c r="G68" i="6" s="1"/>
  <c r="H68" i="6" s="1"/>
  <c r="I68" i="6" s="1"/>
  <c r="J68" i="6" s="1"/>
  <c r="K68" i="6" s="1"/>
  <c r="L68" i="6" s="1"/>
  <c r="M68" i="6" s="1"/>
  <c r="E69" i="6"/>
  <c r="F69" i="6" s="1"/>
  <c r="G69" i="6" s="1"/>
  <c r="H69" i="6" s="1"/>
  <c r="I69" i="6" s="1"/>
  <c r="J69" i="6" s="1"/>
  <c r="K69" i="6" s="1"/>
  <c r="L69" i="6" s="1"/>
  <c r="M69" i="6" s="1"/>
  <c r="D69" i="6"/>
  <c r="D68" i="6"/>
  <c r="D67" i="6"/>
  <c r="D65" i="6"/>
  <c r="D64" i="6"/>
  <c r="D63" i="6"/>
  <c r="E36" i="6"/>
  <c r="F36" i="6" s="1"/>
  <c r="G36" i="6" s="1"/>
  <c r="H36" i="6" s="1"/>
  <c r="I36" i="6" s="1"/>
  <c r="J36" i="6" s="1"/>
  <c r="K36" i="6" s="1"/>
  <c r="L36" i="6" s="1"/>
  <c r="M36" i="6" s="1"/>
  <c r="E37" i="6"/>
  <c r="F37" i="6" s="1"/>
  <c r="G37" i="6" s="1"/>
  <c r="H37" i="6" s="1"/>
  <c r="I37" i="6" s="1"/>
  <c r="J37" i="6" s="1"/>
  <c r="K37" i="6" s="1"/>
  <c r="L37" i="6" s="1"/>
  <c r="M37" i="6" s="1"/>
  <c r="D37" i="6"/>
  <c r="D36" i="6"/>
  <c r="E34" i="6" l="1"/>
  <c r="F34" i="6" s="1"/>
  <c r="G34" i="6" s="1"/>
  <c r="H34" i="6" s="1"/>
  <c r="I34" i="6" s="1"/>
  <c r="J34" i="6" s="1"/>
  <c r="K34" i="6" s="1"/>
  <c r="L34" i="6" s="1"/>
  <c r="M34" i="6" s="1"/>
  <c r="D34" i="6"/>
  <c r="E32" i="6"/>
  <c r="F32" i="6" s="1"/>
  <c r="G32" i="6" s="1"/>
  <c r="H32" i="6" s="1"/>
  <c r="I32" i="6" s="1"/>
  <c r="J32" i="6" s="1"/>
  <c r="K32" i="6" s="1"/>
  <c r="L32" i="6" s="1"/>
  <c r="M32" i="6" s="1"/>
  <c r="D32" i="6"/>
  <c r="E29" i="6"/>
  <c r="F29" i="6" s="1"/>
  <c r="G29" i="6" s="1"/>
  <c r="H29" i="6" s="1"/>
  <c r="I29" i="6" s="1"/>
  <c r="J29" i="6" s="1"/>
  <c r="K29" i="6" s="1"/>
  <c r="L29" i="6" s="1"/>
  <c r="M29" i="6" s="1"/>
  <c r="D29" i="6"/>
  <c r="E16" i="6"/>
  <c r="F16" i="6" s="1"/>
  <c r="G16" i="6" s="1"/>
  <c r="H16" i="6" s="1"/>
  <c r="I16" i="6" s="1"/>
  <c r="J16" i="6" s="1"/>
  <c r="K16" i="6" s="1"/>
  <c r="L16" i="6" s="1"/>
  <c r="M16" i="6" s="1"/>
  <c r="E17" i="6"/>
  <c r="F17" i="6"/>
  <c r="G17" i="6"/>
  <c r="H17" i="6" s="1"/>
  <c r="I17" i="6" s="1"/>
  <c r="J17" i="6" s="1"/>
  <c r="K17" i="6" s="1"/>
  <c r="L17" i="6" s="1"/>
  <c r="M17" i="6" s="1"/>
  <c r="E18" i="6"/>
  <c r="F18" i="6"/>
  <c r="G18" i="6" s="1"/>
  <c r="H18" i="6" s="1"/>
  <c r="I18" i="6" s="1"/>
  <c r="J18" i="6" s="1"/>
  <c r="K18" i="6" s="1"/>
  <c r="L18" i="6" s="1"/>
  <c r="M18" i="6" s="1"/>
  <c r="E19" i="6"/>
  <c r="F19" i="6" s="1"/>
  <c r="G19" i="6" s="1"/>
  <c r="H19" i="6" s="1"/>
  <c r="I19" i="6" s="1"/>
  <c r="J19" i="6" s="1"/>
  <c r="K19" i="6" s="1"/>
  <c r="L19" i="6" s="1"/>
  <c r="M19" i="6" s="1"/>
  <c r="D19" i="6"/>
  <c r="D18" i="6"/>
  <c r="D17" i="6"/>
  <c r="D16" i="6"/>
  <c r="E13" i="6"/>
  <c r="F13" i="6" s="1"/>
  <c r="G13" i="6" s="1"/>
  <c r="H13" i="6" s="1"/>
  <c r="I13" i="6" s="1"/>
  <c r="J13" i="6" s="1"/>
  <c r="K13" i="6" s="1"/>
  <c r="L13" i="6" s="1"/>
  <c r="M13" i="6" s="1"/>
  <c r="D13" i="6"/>
  <c r="E12" i="6"/>
  <c r="F12" i="6" s="1"/>
  <c r="G12" i="6" s="1"/>
  <c r="H12" i="6" s="1"/>
  <c r="I12" i="6" s="1"/>
  <c r="J12" i="6" s="1"/>
  <c r="K12" i="6" s="1"/>
  <c r="L12" i="6" s="1"/>
  <c r="M12" i="6" s="1"/>
  <c r="D12" i="6"/>
  <c r="D14" i="26"/>
  <c r="E14" i="26" s="1"/>
  <c r="F14" i="26" s="1"/>
  <c r="G14" i="26" s="1"/>
  <c r="H14" i="26" s="1"/>
  <c r="I14" i="26" s="1"/>
  <c r="J14" i="26" s="1"/>
  <c r="K14" i="26" s="1"/>
  <c r="L14" i="26" s="1"/>
  <c r="C14" i="26"/>
  <c r="D16" i="26"/>
  <c r="E16" i="26" s="1"/>
  <c r="F16" i="26" s="1"/>
  <c r="G16" i="26" s="1"/>
  <c r="H16" i="26" s="1"/>
  <c r="I16" i="26" s="1"/>
  <c r="J16" i="26" s="1"/>
  <c r="K16" i="26" s="1"/>
  <c r="L16" i="26" s="1"/>
  <c r="C16" i="26"/>
  <c r="D7" i="26"/>
  <c r="E7" i="26" s="1"/>
  <c r="F7" i="26" s="1"/>
  <c r="G7" i="26" s="1"/>
  <c r="H7" i="26" s="1"/>
  <c r="I7" i="26" s="1"/>
  <c r="J7" i="26" s="1"/>
  <c r="K7" i="26" s="1"/>
  <c r="L7" i="26" s="1"/>
  <c r="C7" i="26"/>
  <c r="D62" i="1"/>
  <c r="E62" i="1"/>
  <c r="F62" i="1"/>
  <c r="G62" i="1"/>
  <c r="G64" i="1" s="1"/>
  <c r="G66" i="1" s="1"/>
  <c r="H62" i="1"/>
  <c r="I62" i="1"/>
  <c r="J62" i="1"/>
  <c r="K62" i="1"/>
  <c r="K64" i="1" s="1"/>
  <c r="K66" i="1" s="1"/>
  <c r="L62" i="1"/>
  <c r="D64" i="1"/>
  <c r="E64" i="1"/>
  <c r="F64" i="1"/>
  <c r="F66" i="1" s="1"/>
  <c r="H64" i="1"/>
  <c r="I64" i="1"/>
  <c r="J64" i="1"/>
  <c r="J66" i="1" s="1"/>
  <c r="L64" i="1"/>
  <c r="D66" i="1"/>
  <c r="E66" i="1"/>
  <c r="H66" i="1"/>
  <c r="I66" i="1"/>
  <c r="L66" i="1"/>
  <c r="C66" i="1"/>
  <c r="C64" i="1"/>
  <c r="C62" i="1"/>
  <c r="D24" i="1"/>
  <c r="E24" i="1"/>
  <c r="F24" i="1"/>
  <c r="G24" i="1"/>
  <c r="H24" i="1"/>
  <c r="I24" i="1"/>
  <c r="J24" i="1"/>
  <c r="K24" i="1"/>
  <c r="L24" i="1"/>
  <c r="C24" i="1"/>
  <c r="I27" i="26"/>
  <c r="D26" i="26"/>
  <c r="E26" i="26"/>
  <c r="F26" i="26"/>
  <c r="I25" i="26"/>
  <c r="H25" i="26"/>
  <c r="G25" i="26"/>
  <c r="F25" i="26"/>
  <c r="E25" i="26"/>
  <c r="D25" i="26"/>
  <c r="C25" i="26"/>
  <c r="L49" i="10" l="1"/>
  <c r="N99" i="8"/>
  <c r="J28" i="15"/>
  <c r="I28" i="15"/>
  <c r="N69" i="8"/>
  <c r="K69" i="8"/>
  <c r="L99" i="8"/>
  <c r="K99" i="8"/>
  <c r="M80" i="8"/>
  <c r="L80" i="8"/>
  <c r="N80" i="8"/>
  <c r="K80" i="8"/>
  <c r="L28" i="15"/>
  <c r="H28" i="15"/>
  <c r="E28" i="15"/>
  <c r="D52" i="1"/>
  <c r="E52" i="1"/>
  <c r="F52" i="1"/>
  <c r="G52" i="1"/>
  <c r="H52" i="1"/>
  <c r="I52" i="1"/>
  <c r="J52" i="1"/>
  <c r="K52" i="1"/>
  <c r="L52" i="1"/>
  <c r="C52" i="1"/>
  <c r="G28" i="15"/>
  <c r="F28" i="15"/>
  <c r="D28" i="15"/>
  <c r="C28" i="15"/>
  <c r="D34" i="14" l="1"/>
  <c r="E34" i="14"/>
  <c r="F34" i="14"/>
  <c r="G34" i="14"/>
  <c r="H34" i="14"/>
  <c r="I34" i="14"/>
  <c r="J34" i="14"/>
  <c r="K34" i="14"/>
  <c r="L34" i="14"/>
  <c r="C34" i="14"/>
  <c r="L26" i="12"/>
  <c r="K26" i="12"/>
  <c r="J26" i="12"/>
  <c r="I26" i="12"/>
  <c r="H26" i="12"/>
  <c r="G26" i="12"/>
  <c r="F26" i="12"/>
  <c r="E26" i="12"/>
  <c r="D26" i="12"/>
  <c r="C26" i="12"/>
  <c r="B42" i="15" l="1"/>
  <c r="L38" i="10" l="1"/>
  <c r="K38" i="10"/>
  <c r="J38" i="10"/>
  <c r="I38" i="10"/>
  <c r="F99" i="8" l="1"/>
  <c r="G99" i="8"/>
  <c r="H99" i="8"/>
  <c r="I99" i="8"/>
  <c r="J99" i="8"/>
  <c r="M99" i="8"/>
  <c r="E99" i="8"/>
  <c r="G11" i="1" l="1"/>
  <c r="H11" i="1"/>
  <c r="I11" i="1"/>
  <c r="J11" i="1"/>
  <c r="K11" i="1"/>
  <c r="L11" i="1"/>
  <c r="F11" i="1"/>
  <c r="L16" i="1" l="1"/>
  <c r="C47" i="10" l="1"/>
  <c r="C55" i="10"/>
  <c r="C38" i="10"/>
  <c r="C11" i="1"/>
  <c r="L47" i="10"/>
  <c r="K47" i="10"/>
  <c r="D41" i="10" l="1"/>
  <c r="L40" i="14" l="1"/>
  <c r="K40" i="14"/>
  <c r="J40" i="14"/>
  <c r="I40" i="14"/>
  <c r="H40" i="14"/>
  <c r="G40" i="14"/>
  <c r="F40" i="14"/>
  <c r="E40" i="14"/>
  <c r="D40" i="14"/>
  <c r="C40" i="14"/>
  <c r="D51" i="10"/>
  <c r="E51" i="10"/>
  <c r="F51" i="10"/>
  <c r="G51" i="10"/>
  <c r="H51" i="10"/>
  <c r="I51" i="10"/>
  <c r="J51" i="10"/>
  <c r="K51" i="10"/>
  <c r="L51" i="10"/>
  <c r="C51" i="10"/>
  <c r="D19" i="15" l="1"/>
  <c r="E19" i="15"/>
  <c r="F19" i="15"/>
  <c r="G19" i="15"/>
  <c r="H19" i="15"/>
  <c r="I19" i="15"/>
  <c r="J19" i="15"/>
  <c r="K19" i="15"/>
  <c r="L19" i="15"/>
  <c r="C19" i="15"/>
  <c r="D75" i="19"/>
  <c r="E75" i="19"/>
  <c r="F75" i="19"/>
  <c r="G75" i="19"/>
  <c r="H75" i="19"/>
  <c r="I75" i="19"/>
  <c r="J75" i="19"/>
  <c r="K75" i="19"/>
  <c r="L75" i="19"/>
  <c r="C75" i="19"/>
  <c r="C37" i="15"/>
  <c r="D37" i="15"/>
  <c r="E37" i="15"/>
  <c r="F37" i="15"/>
  <c r="G37" i="15"/>
  <c r="H37" i="15"/>
  <c r="I37" i="15"/>
  <c r="J37" i="15"/>
  <c r="K37" i="15"/>
  <c r="L37" i="15"/>
  <c r="B69" i="19"/>
  <c r="D74" i="19"/>
  <c r="E74" i="19"/>
  <c r="F74" i="19"/>
  <c r="G74" i="19"/>
  <c r="H74" i="19"/>
  <c r="I74" i="19"/>
  <c r="J74" i="19"/>
  <c r="K74" i="19"/>
  <c r="L74" i="19"/>
  <c r="C74" i="19"/>
  <c r="B74" i="19"/>
  <c r="C71" i="19"/>
  <c r="D71" i="19"/>
  <c r="E71" i="19"/>
  <c r="F71" i="19"/>
  <c r="G71" i="19"/>
  <c r="H71" i="19"/>
  <c r="I71" i="19"/>
  <c r="J71" i="19"/>
  <c r="K71" i="19"/>
  <c r="L71" i="19"/>
  <c r="B71" i="19"/>
  <c r="B70" i="19"/>
  <c r="B73" i="19" l="1"/>
  <c r="B37" i="15"/>
  <c r="C37" i="17"/>
  <c r="D37" i="17"/>
  <c r="E37" i="17"/>
  <c r="F37" i="17"/>
  <c r="G37" i="17"/>
  <c r="H37" i="17"/>
  <c r="I37" i="17"/>
  <c r="J37" i="17"/>
  <c r="K37" i="17"/>
  <c r="L37" i="17"/>
  <c r="B37" i="17"/>
  <c r="D11" i="1" l="1"/>
  <c r="E11" i="1"/>
  <c r="B51" i="10" l="1"/>
  <c r="D52" i="8"/>
  <c r="B61" i="22" l="1"/>
  <c r="B70" i="22"/>
  <c r="B69" i="22"/>
  <c r="B68" i="22"/>
  <c r="B67" i="22"/>
  <c r="B66" i="22"/>
  <c r="B65" i="22"/>
  <c r="B43" i="22"/>
  <c r="B42" i="22"/>
  <c r="B41" i="22"/>
  <c r="B40" i="22"/>
  <c r="B39" i="22"/>
  <c r="B38" i="22"/>
  <c r="C34" i="17" l="1"/>
  <c r="D60" i="10" l="1"/>
  <c r="E60" i="10"/>
  <c r="F60" i="10"/>
  <c r="G60" i="10"/>
  <c r="H60" i="10"/>
  <c r="I60" i="10"/>
  <c r="J60" i="10"/>
  <c r="K60" i="10"/>
  <c r="L60" i="10"/>
  <c r="C60" i="10"/>
  <c r="F14" i="8" l="1"/>
  <c r="G14" i="8" s="1"/>
  <c r="H14" i="8" s="1"/>
  <c r="I14" i="8" s="1"/>
  <c r="J14" i="8" s="1"/>
  <c r="K14" i="8" s="1"/>
  <c r="L14" i="8" s="1"/>
  <c r="M14" i="8" s="1"/>
  <c r="N14" i="8" s="1"/>
  <c r="J143" i="5" l="1"/>
  <c r="I143" i="5"/>
  <c r="H143" i="5"/>
  <c r="G143" i="5"/>
  <c r="F143" i="5"/>
  <c r="E143" i="5"/>
  <c r="D143" i="5"/>
  <c r="L22" i="1" l="1"/>
  <c r="C22" i="1"/>
  <c r="D22" i="1"/>
  <c r="E22" i="1"/>
  <c r="F22" i="1"/>
  <c r="G22" i="1"/>
  <c r="H22" i="1"/>
  <c r="I22" i="1"/>
  <c r="J22" i="1"/>
  <c r="K22" i="1"/>
  <c r="B22" i="1"/>
  <c r="D105" i="8" l="1"/>
  <c r="E93" i="8"/>
  <c r="F93" i="8"/>
  <c r="G93" i="8"/>
  <c r="H93" i="8"/>
  <c r="I93" i="8"/>
  <c r="J93" i="8"/>
  <c r="K93" i="8"/>
  <c r="L93" i="8"/>
  <c r="M93" i="8"/>
  <c r="N93" i="8"/>
  <c r="D93" i="8"/>
  <c r="E92" i="8"/>
  <c r="F92" i="8"/>
  <c r="G92" i="8"/>
  <c r="H92" i="8"/>
  <c r="I92" i="8"/>
  <c r="J92" i="8"/>
  <c r="K92" i="8"/>
  <c r="L92" i="8"/>
  <c r="M92" i="8"/>
  <c r="N92" i="8"/>
  <c r="D92" i="8"/>
  <c r="G180" i="7" l="1"/>
  <c r="H180" i="7"/>
  <c r="L180" i="7"/>
  <c r="F181" i="7"/>
  <c r="J181" i="7"/>
  <c r="C181" i="7"/>
  <c r="C196" i="7"/>
  <c r="I94" i="8"/>
  <c r="C18" i="22"/>
  <c r="D18" i="22"/>
  <c r="E18" i="22"/>
  <c r="F18" i="22"/>
  <c r="G18" i="22"/>
  <c r="H18" i="22"/>
  <c r="I18" i="22"/>
  <c r="J18" i="22"/>
  <c r="K18" i="22"/>
  <c r="L18" i="22"/>
  <c r="B18" i="22"/>
  <c r="D180" i="7"/>
  <c r="G94" i="8"/>
  <c r="H94" i="8"/>
  <c r="K94" i="8"/>
  <c r="L94" i="8"/>
  <c r="C180" i="7"/>
  <c r="E91" i="8"/>
  <c r="F91" i="8"/>
  <c r="G91" i="8"/>
  <c r="H91" i="8"/>
  <c r="I91" i="8"/>
  <c r="J91" i="8"/>
  <c r="K91" i="8"/>
  <c r="L91" i="8"/>
  <c r="M91" i="8"/>
  <c r="N91" i="8"/>
  <c r="D91" i="8"/>
  <c r="B12" i="17" l="1"/>
  <c r="N94" i="8"/>
  <c r="F94" i="8"/>
  <c r="M94" i="8"/>
  <c r="M181" i="7"/>
  <c r="I181" i="7"/>
  <c r="E181" i="7"/>
  <c r="K180" i="7"/>
  <c r="D94" i="8"/>
  <c r="L181" i="7"/>
  <c r="K12" i="17" s="1"/>
  <c r="H181" i="7"/>
  <c r="G12" i="17" s="1"/>
  <c r="D181" i="7"/>
  <c r="C12" i="17" s="1"/>
  <c r="J180" i="7"/>
  <c r="I12" i="17" s="1"/>
  <c r="F180" i="7"/>
  <c r="E12" i="17" s="1"/>
  <c r="J94" i="8"/>
  <c r="E94" i="8"/>
  <c r="K181" i="7"/>
  <c r="G181" i="7"/>
  <c r="F12" i="17" s="1"/>
  <c r="M180" i="7"/>
  <c r="I180" i="7"/>
  <c r="E180" i="7"/>
  <c r="C60" i="1"/>
  <c r="D60" i="1"/>
  <c r="E60" i="1"/>
  <c r="F60" i="1"/>
  <c r="G60" i="1"/>
  <c r="H60" i="1"/>
  <c r="I60" i="1"/>
  <c r="J60" i="1"/>
  <c r="K60" i="1"/>
  <c r="L60" i="1"/>
  <c r="B60" i="1"/>
  <c r="J12" i="17" l="1"/>
  <c r="H12" i="17"/>
  <c r="L12" i="17"/>
  <c r="D12" i="17"/>
  <c r="D14" i="8"/>
  <c r="D73" i="3"/>
  <c r="E73" i="3"/>
  <c r="F73" i="3"/>
  <c r="G73" i="3"/>
  <c r="H73" i="3"/>
  <c r="I73" i="3"/>
  <c r="J73" i="3"/>
  <c r="K73" i="3"/>
  <c r="L73" i="3"/>
  <c r="M73" i="3"/>
  <c r="C73" i="3"/>
  <c r="B36" i="17" l="1"/>
  <c r="D16" i="8"/>
  <c r="C41" i="7" s="1"/>
  <c r="E16" i="8"/>
  <c r="D41" i="7" s="1"/>
  <c r="D56" i="6"/>
  <c r="E56" i="6"/>
  <c r="F56" i="6"/>
  <c r="G56" i="6"/>
  <c r="H56" i="6"/>
  <c r="I56" i="6"/>
  <c r="J56" i="6"/>
  <c r="K56" i="6"/>
  <c r="L56" i="6"/>
  <c r="M56" i="6"/>
  <c r="C56" i="6"/>
  <c r="C32" i="7"/>
  <c r="C44" i="6" s="1"/>
  <c r="M29" i="7"/>
  <c r="L29" i="7"/>
  <c r="K29" i="7"/>
  <c r="J29" i="7"/>
  <c r="I29" i="7"/>
  <c r="H29" i="7"/>
  <c r="G29" i="7"/>
  <c r="F29" i="7"/>
  <c r="E29" i="7"/>
  <c r="D29" i="7"/>
  <c r="C29" i="7"/>
  <c r="C28" i="7"/>
  <c r="D28" i="7"/>
  <c r="E28" i="7"/>
  <c r="F28" i="7"/>
  <c r="G28" i="7"/>
  <c r="C26" i="7"/>
  <c r="C46" i="7"/>
  <c r="C45" i="6" s="1"/>
  <c r="C40" i="7"/>
  <c r="C60" i="7"/>
  <c r="C46" i="6" s="1"/>
  <c r="C54" i="7"/>
  <c r="C107" i="7"/>
  <c r="C47" i="6" s="1"/>
  <c r="C101" i="7"/>
  <c r="C230" i="7"/>
  <c r="C57" i="6" s="1"/>
  <c r="C224" i="7"/>
  <c r="C211" i="7"/>
  <c r="C201" i="7"/>
  <c r="C195" i="7"/>
  <c r="C185" i="7"/>
  <c r="C179" i="7"/>
  <c r="C169" i="7"/>
  <c r="C163" i="7"/>
  <c r="C153" i="7"/>
  <c r="C147" i="7"/>
  <c r="C137" i="7"/>
  <c r="C131" i="7"/>
  <c r="C121" i="7"/>
  <c r="C114" i="7"/>
  <c r="C48" i="6" l="1"/>
  <c r="B23" i="22"/>
  <c r="C51" i="6"/>
  <c r="B25" i="22"/>
  <c r="C53" i="6"/>
  <c r="B27" i="22"/>
  <c r="C50" i="6"/>
  <c r="B24" i="22"/>
  <c r="C52" i="6"/>
  <c r="B26" i="22"/>
  <c r="C54" i="6"/>
  <c r="B28" i="22"/>
  <c r="D30" i="7"/>
  <c r="F30" i="7"/>
  <c r="E30" i="7"/>
  <c r="C30" i="7"/>
  <c r="G30" i="7"/>
  <c r="E76" i="3"/>
  <c r="F76" i="3"/>
  <c r="G76" i="3"/>
  <c r="H76" i="3"/>
  <c r="I76" i="3"/>
  <c r="J76" i="3"/>
  <c r="K76" i="3"/>
  <c r="L76" i="3"/>
  <c r="M76" i="3"/>
  <c r="D76" i="3"/>
  <c r="E37" i="3"/>
  <c r="F37" i="3"/>
  <c r="G37" i="3"/>
  <c r="H37" i="3"/>
  <c r="I37" i="3"/>
  <c r="J37" i="3"/>
  <c r="K37" i="3"/>
  <c r="L37" i="3"/>
  <c r="M37" i="3"/>
  <c r="D37" i="3"/>
  <c r="H26" i="26" l="1"/>
  <c r="I26" i="26"/>
  <c r="G26" i="26"/>
  <c r="D36" i="1" l="1"/>
  <c r="D48" i="1" s="1"/>
  <c r="E36" i="1"/>
  <c r="E48" i="1" s="1"/>
  <c r="C36" i="1"/>
  <c r="F36" i="1"/>
  <c r="F48" i="1" s="1"/>
  <c r="J36" i="1"/>
  <c r="J48" i="1" s="1"/>
  <c r="G36" i="1"/>
  <c r="G48" i="1" s="1"/>
  <c r="K36" i="1"/>
  <c r="K48" i="1" s="1"/>
  <c r="H36" i="1"/>
  <c r="H48" i="1" s="1"/>
  <c r="L36" i="1"/>
  <c r="L48" i="1" s="1"/>
  <c r="I36" i="1"/>
  <c r="I48" i="1" s="1"/>
  <c r="C48" i="1"/>
  <c r="B16" i="26"/>
  <c r="B17" i="26"/>
  <c r="C14" i="6" s="1"/>
  <c r="B5" i="26"/>
  <c r="C5" i="26" s="1"/>
  <c r="D5" i="26" s="1"/>
  <c r="E5" i="26" s="1"/>
  <c r="F5" i="26" s="1"/>
  <c r="G5" i="26" s="1"/>
  <c r="H5" i="26" s="1"/>
  <c r="I5" i="26" s="1"/>
  <c r="J5" i="26" s="1"/>
  <c r="K5" i="26" s="1"/>
  <c r="L5" i="26" s="1"/>
  <c r="A1" i="26"/>
  <c r="B14" i="26" l="1"/>
  <c r="B15" i="26" l="1"/>
  <c r="B12" i="26" l="1"/>
  <c r="B8" i="26"/>
  <c r="C8" i="26" s="1"/>
  <c r="D8" i="26" s="1"/>
  <c r="E8" i="26" s="1"/>
  <c r="F8" i="26" s="1"/>
  <c r="G8" i="26" s="1"/>
  <c r="H8" i="26" s="1"/>
  <c r="I8" i="26" s="1"/>
  <c r="J8" i="26" s="1"/>
  <c r="K8" i="26" s="1"/>
  <c r="L8" i="26" s="1"/>
  <c r="B13" i="26" l="1"/>
  <c r="C12" i="26"/>
  <c r="D12" i="26" s="1"/>
  <c r="E12" i="26" s="1"/>
  <c r="F12" i="26" s="1"/>
  <c r="G12" i="26" s="1"/>
  <c r="H12" i="26" s="1"/>
  <c r="I12" i="26" s="1"/>
  <c r="J12" i="26" s="1"/>
  <c r="K12" i="26" s="1"/>
  <c r="L12" i="26" s="1"/>
  <c r="B9" i="26" l="1"/>
  <c r="C9" i="26" s="1"/>
  <c r="D9" i="26" s="1"/>
  <c r="E9" i="26" s="1"/>
  <c r="F9" i="26" s="1"/>
  <c r="G9" i="26" s="1"/>
  <c r="H9" i="26" s="1"/>
  <c r="I9" i="26" s="1"/>
  <c r="J9" i="26" s="1"/>
  <c r="K9" i="26" s="1"/>
  <c r="L9" i="26" s="1"/>
  <c r="B7" i="26" l="1"/>
  <c r="B10" i="26" l="1"/>
  <c r="B11" i="26" s="1"/>
  <c r="B18" i="26"/>
  <c r="C11" i="6" l="1"/>
  <c r="B19" i="26"/>
  <c r="B20" i="26" l="1"/>
  <c r="C15" i="6"/>
  <c r="C19" i="26"/>
  <c r="D15" i="6" l="1"/>
  <c r="D19" i="26"/>
  <c r="E19" i="26" l="1"/>
  <c r="E15" i="6"/>
  <c r="F19" i="26" l="1"/>
  <c r="F15" i="6"/>
  <c r="G19" i="26" l="1"/>
  <c r="G15" i="6"/>
  <c r="D28" i="25"/>
  <c r="D29" i="25" s="1"/>
  <c r="D18" i="25"/>
  <c r="D19" i="25" s="1"/>
  <c r="D6" i="25"/>
  <c r="E6" i="25" s="1"/>
  <c r="F6" i="25" s="1"/>
  <c r="G6" i="25" s="1"/>
  <c r="H6" i="25" s="1"/>
  <c r="I6" i="25" s="1"/>
  <c r="J6" i="25" s="1"/>
  <c r="K6" i="25" s="1"/>
  <c r="L6" i="25" s="1"/>
  <c r="M6" i="25" s="1"/>
  <c r="N6" i="25" s="1"/>
  <c r="A2" i="25"/>
  <c r="A1" i="25"/>
  <c r="B6" i="24"/>
  <c r="C6" i="24" s="1"/>
  <c r="D6" i="24" s="1"/>
  <c r="E6" i="24" s="1"/>
  <c r="F6" i="24" s="1"/>
  <c r="G6" i="24" s="1"/>
  <c r="H6" i="24" s="1"/>
  <c r="I6" i="24" s="1"/>
  <c r="J6" i="24" s="1"/>
  <c r="K6" i="24" s="1"/>
  <c r="L6" i="24" s="1"/>
  <c r="B5" i="23"/>
  <c r="C5" i="23" s="1"/>
  <c r="D5" i="23" s="1"/>
  <c r="E5" i="23" s="1"/>
  <c r="F5" i="23" s="1"/>
  <c r="G5" i="23" s="1"/>
  <c r="H5" i="23" s="1"/>
  <c r="I5" i="23" s="1"/>
  <c r="J5" i="23" s="1"/>
  <c r="K5" i="23" s="1"/>
  <c r="L5" i="23" s="1"/>
  <c r="A1" i="23"/>
  <c r="C63" i="22"/>
  <c r="B63" i="22"/>
  <c r="B57" i="22" s="1"/>
  <c r="B20" i="23" s="1"/>
  <c r="D38" i="25" s="1"/>
  <c r="D39" i="25" s="1"/>
  <c r="C36" i="22"/>
  <c r="B36" i="22"/>
  <c r="B5" i="22"/>
  <c r="C5" i="22" s="1"/>
  <c r="D5" i="22" s="1"/>
  <c r="E5" i="22" s="1"/>
  <c r="F5" i="22" s="1"/>
  <c r="G5" i="22" s="1"/>
  <c r="H5" i="22" s="1"/>
  <c r="I5" i="22" s="1"/>
  <c r="J5" i="22" s="1"/>
  <c r="K5" i="22" s="1"/>
  <c r="L5" i="22" s="1"/>
  <c r="A1" i="22"/>
  <c r="B35" i="21"/>
  <c r="B25" i="21"/>
  <c r="B23" i="21"/>
  <c r="B16" i="21"/>
  <c r="B5" i="21"/>
  <c r="C5" i="21" s="1"/>
  <c r="D5" i="21" s="1"/>
  <c r="E5" i="21" s="1"/>
  <c r="F5" i="21" s="1"/>
  <c r="G5" i="21" s="1"/>
  <c r="H5" i="21" s="1"/>
  <c r="I5" i="21" s="1"/>
  <c r="J5" i="21" s="1"/>
  <c r="K5" i="21" s="1"/>
  <c r="L5" i="21" s="1"/>
  <c r="A1" i="21"/>
  <c r="C5" i="20"/>
  <c r="D5" i="20" s="1"/>
  <c r="E5" i="20" s="1"/>
  <c r="F5" i="20" s="1"/>
  <c r="G5" i="20" s="1"/>
  <c r="H5" i="20" s="1"/>
  <c r="I5" i="20" s="1"/>
  <c r="J5" i="20" s="1"/>
  <c r="K5" i="20" s="1"/>
  <c r="L5" i="20" s="1"/>
  <c r="B5" i="20"/>
  <c r="A1" i="20"/>
  <c r="B107" i="19"/>
  <c r="C99" i="19"/>
  <c r="C98" i="19"/>
  <c r="C97" i="19"/>
  <c r="C96" i="19"/>
  <c r="B91" i="19"/>
  <c r="B90" i="19"/>
  <c r="B89" i="19"/>
  <c r="B88" i="19"/>
  <c r="B58" i="19"/>
  <c r="B57" i="19"/>
  <c r="B52" i="19"/>
  <c r="B5" i="19"/>
  <c r="C5" i="19" s="1"/>
  <c r="D5" i="19" s="1"/>
  <c r="E5" i="19" s="1"/>
  <c r="F5" i="19" s="1"/>
  <c r="G5" i="19" s="1"/>
  <c r="H5" i="19" s="1"/>
  <c r="I5" i="19" s="1"/>
  <c r="J5" i="19" s="1"/>
  <c r="K5" i="19" s="1"/>
  <c r="L5" i="19" s="1"/>
  <c r="A1" i="19"/>
  <c r="B92" i="11"/>
  <c r="C91" i="11" s="1"/>
  <c r="B87" i="19" l="1"/>
  <c r="H19" i="26"/>
  <c r="H15" i="6"/>
  <c r="B22" i="22"/>
  <c r="I19" i="26" l="1"/>
  <c r="I15" i="6"/>
  <c r="B82" i="11"/>
  <c r="C81" i="11" s="1"/>
  <c r="B73" i="11"/>
  <c r="C72" i="11" s="1"/>
  <c r="B72" i="11"/>
  <c r="B66" i="11"/>
  <c r="C65" i="11" s="1"/>
  <c r="B65" i="11"/>
  <c r="B67" i="11" l="1"/>
  <c r="B83" i="11"/>
  <c r="B74" i="11"/>
  <c r="J19" i="26"/>
  <c r="J15" i="6"/>
  <c r="B58" i="11"/>
  <c r="B59" i="11"/>
  <c r="B57" i="11"/>
  <c r="B60" i="11" s="1"/>
  <c r="B48" i="11"/>
  <c r="B49" i="11"/>
  <c r="C48" i="11" s="1"/>
  <c r="B43" i="11"/>
  <c r="B44" i="11" s="1"/>
  <c r="B42" i="11"/>
  <c r="C41" i="11" s="1"/>
  <c r="B37" i="11"/>
  <c r="B36" i="11"/>
  <c r="C35" i="11" s="1"/>
  <c r="B29" i="11"/>
  <c r="C28" i="11" s="1"/>
  <c r="B26" i="11"/>
  <c r="B27" i="11"/>
  <c r="C26" i="11" s="1"/>
  <c r="C58" i="11" l="1"/>
  <c r="B76" i="12"/>
  <c r="C56" i="11"/>
  <c r="B30" i="11"/>
  <c r="B50" i="11"/>
  <c r="B74" i="12" s="1"/>
  <c r="K19" i="26"/>
  <c r="K15" i="6"/>
  <c r="B17" i="11"/>
  <c r="B10" i="11"/>
  <c r="L19" i="26" l="1"/>
  <c r="M15" i="6" s="1"/>
  <c r="L15" i="6"/>
  <c r="B20" i="11"/>
  <c r="C26" i="18"/>
  <c r="D26" i="18"/>
  <c r="E26" i="18"/>
  <c r="F26" i="18"/>
  <c r="G26" i="18"/>
  <c r="H26" i="18"/>
  <c r="I26" i="18"/>
  <c r="J26" i="18"/>
  <c r="K26" i="18"/>
  <c r="L26" i="18"/>
  <c r="C24" i="18"/>
  <c r="D24" i="18"/>
  <c r="E24" i="18"/>
  <c r="F24" i="18"/>
  <c r="G24" i="18"/>
  <c r="H24" i="18"/>
  <c r="I24" i="18"/>
  <c r="J24" i="18"/>
  <c r="K24" i="18"/>
  <c r="L24" i="18"/>
  <c r="C23" i="18"/>
  <c r="D23" i="18"/>
  <c r="E23" i="18"/>
  <c r="F23" i="18"/>
  <c r="G23" i="18"/>
  <c r="H23" i="18"/>
  <c r="I23" i="18"/>
  <c r="J23" i="18"/>
  <c r="K23" i="18"/>
  <c r="L23" i="18"/>
  <c r="C14" i="18"/>
  <c r="D14" i="18"/>
  <c r="E14" i="18"/>
  <c r="F14" i="18"/>
  <c r="G14" i="18"/>
  <c r="H14" i="18"/>
  <c r="I14" i="18"/>
  <c r="J14" i="18"/>
  <c r="K14" i="18"/>
  <c r="L14" i="18"/>
  <c r="B14" i="18"/>
  <c r="C13" i="18"/>
  <c r="D13" i="18"/>
  <c r="E13" i="18"/>
  <c r="F13" i="18"/>
  <c r="G13" i="18"/>
  <c r="H13" i="18"/>
  <c r="I13" i="18"/>
  <c r="J13" i="18"/>
  <c r="K13" i="18"/>
  <c r="L13" i="18"/>
  <c r="B13" i="18"/>
  <c r="C11" i="18"/>
  <c r="D11" i="18"/>
  <c r="E11" i="18"/>
  <c r="F11" i="18"/>
  <c r="G11" i="18"/>
  <c r="H11" i="18"/>
  <c r="I11" i="18"/>
  <c r="J11" i="18"/>
  <c r="K11" i="18"/>
  <c r="L11" i="18"/>
  <c r="B11" i="18"/>
  <c r="B6" i="18"/>
  <c r="C6" i="18" s="1"/>
  <c r="D6" i="18" s="1"/>
  <c r="E6" i="18" s="1"/>
  <c r="F6" i="18" s="1"/>
  <c r="G6" i="18" s="1"/>
  <c r="H6" i="18" s="1"/>
  <c r="I6" i="18" s="1"/>
  <c r="J6" i="18" s="1"/>
  <c r="K6" i="18" s="1"/>
  <c r="L6" i="18" s="1"/>
  <c r="A2" i="18"/>
  <c r="A1" i="18"/>
  <c r="D34" i="17"/>
  <c r="E34" i="17"/>
  <c r="F34" i="17"/>
  <c r="G34" i="17"/>
  <c r="H34" i="17"/>
  <c r="I34" i="17"/>
  <c r="J34" i="17"/>
  <c r="K34" i="17"/>
  <c r="L34" i="17"/>
  <c r="B34" i="17"/>
  <c r="B6" i="17"/>
  <c r="C6" i="17" s="1"/>
  <c r="D6" i="17" s="1"/>
  <c r="E6" i="17" s="1"/>
  <c r="F6" i="17" s="1"/>
  <c r="G6" i="17" s="1"/>
  <c r="H6" i="17" s="1"/>
  <c r="I6" i="17" s="1"/>
  <c r="J6" i="17" s="1"/>
  <c r="K6" i="17" s="1"/>
  <c r="L6" i="17" s="1"/>
  <c r="A2" i="17"/>
  <c r="A1" i="17"/>
  <c r="C18" i="16"/>
  <c r="D18" i="16"/>
  <c r="E18" i="16"/>
  <c r="F18" i="16"/>
  <c r="G18" i="16"/>
  <c r="H18" i="16"/>
  <c r="I18" i="16"/>
  <c r="J18" i="16"/>
  <c r="K18" i="16"/>
  <c r="L18" i="16"/>
  <c r="B18" i="16"/>
  <c r="B6" i="16"/>
  <c r="C6" i="16" s="1"/>
  <c r="D6" i="16" s="1"/>
  <c r="E6" i="16" s="1"/>
  <c r="F6" i="16" s="1"/>
  <c r="G6" i="16" s="1"/>
  <c r="H6" i="16" s="1"/>
  <c r="I6" i="16" s="1"/>
  <c r="J6" i="16" s="1"/>
  <c r="K6" i="16" s="1"/>
  <c r="L6" i="16" s="1"/>
  <c r="A2" i="16"/>
  <c r="A1" i="16"/>
  <c r="B14" i="15" l="1"/>
  <c r="B6" i="15"/>
  <c r="C6" i="15" s="1"/>
  <c r="D6" i="15" s="1"/>
  <c r="E6" i="15" s="1"/>
  <c r="F6" i="15" s="1"/>
  <c r="G6" i="15" s="1"/>
  <c r="H6" i="15" s="1"/>
  <c r="I6" i="15" s="1"/>
  <c r="J6" i="15" s="1"/>
  <c r="K6" i="15" s="1"/>
  <c r="L6" i="15" s="1"/>
  <c r="A2" i="15"/>
  <c r="A1" i="15"/>
  <c r="B42" i="14"/>
  <c r="B41" i="14"/>
  <c r="B40" i="14"/>
  <c r="C39" i="14"/>
  <c r="D39" i="14"/>
  <c r="E39" i="14"/>
  <c r="F39" i="14"/>
  <c r="G39" i="14"/>
  <c r="H39" i="14"/>
  <c r="I39" i="14"/>
  <c r="J39" i="14"/>
  <c r="K39" i="14"/>
  <c r="L39" i="14"/>
  <c r="B39" i="14"/>
  <c r="B35" i="14"/>
  <c r="B34" i="14"/>
  <c r="B36" i="14" s="1"/>
  <c r="B33" i="14"/>
  <c r="B20" i="14"/>
  <c r="B14" i="14"/>
  <c r="B13" i="14"/>
  <c r="B73" i="12" s="1"/>
  <c r="B75" i="12" s="1"/>
  <c r="B12" i="14"/>
  <c r="B6" i="14"/>
  <c r="C6" i="14" s="1"/>
  <c r="D6" i="14" s="1"/>
  <c r="E6" i="14" s="1"/>
  <c r="F6" i="14" s="1"/>
  <c r="G6" i="14" s="1"/>
  <c r="H6" i="14" s="1"/>
  <c r="I6" i="14" s="1"/>
  <c r="J6" i="14" s="1"/>
  <c r="K6" i="14" s="1"/>
  <c r="L6" i="14" s="1"/>
  <c r="A2" i="14"/>
  <c r="A1" i="14"/>
  <c r="C24" i="13"/>
  <c r="D24" i="13"/>
  <c r="E24" i="13"/>
  <c r="F24" i="13"/>
  <c r="G24" i="13"/>
  <c r="H24" i="13"/>
  <c r="I24" i="13"/>
  <c r="J24" i="13"/>
  <c r="K24" i="13"/>
  <c r="L24" i="13"/>
  <c r="B24" i="13"/>
  <c r="B6" i="13"/>
  <c r="C6" i="13" s="1"/>
  <c r="D6" i="13" s="1"/>
  <c r="E6" i="13" s="1"/>
  <c r="F6" i="13" s="1"/>
  <c r="G6" i="13" s="1"/>
  <c r="H6" i="13" s="1"/>
  <c r="I6" i="13" s="1"/>
  <c r="J6" i="13" s="1"/>
  <c r="K6" i="13" s="1"/>
  <c r="L6" i="13" s="1"/>
  <c r="A2" i="13"/>
  <c r="A1" i="13"/>
  <c r="B52" i="12"/>
  <c r="B38" i="12"/>
  <c r="B34" i="12"/>
  <c r="D33" i="12"/>
  <c r="E33" i="12" s="1"/>
  <c r="F33" i="12" s="1"/>
  <c r="G33" i="12" s="1"/>
  <c r="H33" i="12" s="1"/>
  <c r="I33" i="12" s="1"/>
  <c r="J33" i="12" s="1"/>
  <c r="K33" i="12" s="1"/>
  <c r="L33" i="12" s="1"/>
  <c r="C33" i="12"/>
  <c r="D32" i="12"/>
  <c r="E32" i="12" s="1"/>
  <c r="F32" i="12" s="1"/>
  <c r="G32" i="12" s="1"/>
  <c r="H32" i="12" s="1"/>
  <c r="I32" i="12" s="1"/>
  <c r="J32" i="12" s="1"/>
  <c r="K32" i="12" s="1"/>
  <c r="L32" i="12" s="1"/>
  <c r="C32" i="12"/>
  <c r="C30" i="12"/>
  <c r="D30" i="12" s="1"/>
  <c r="E30" i="12" s="1"/>
  <c r="F30" i="12" s="1"/>
  <c r="G30" i="12" s="1"/>
  <c r="H30" i="12" s="1"/>
  <c r="I30" i="12" s="1"/>
  <c r="J30" i="12" s="1"/>
  <c r="K30" i="12" s="1"/>
  <c r="L30" i="12" s="1"/>
  <c r="L21" i="12"/>
  <c r="K21" i="12"/>
  <c r="J21" i="12"/>
  <c r="I21" i="12"/>
  <c r="H21" i="12"/>
  <c r="G21" i="12"/>
  <c r="F21" i="12"/>
  <c r="E21" i="12"/>
  <c r="D21" i="12"/>
  <c r="C21" i="12"/>
  <c r="B21" i="12"/>
  <c r="B17" i="12"/>
  <c r="B55" i="19" l="1"/>
  <c r="B54" i="19" s="1"/>
  <c r="B21" i="21"/>
  <c r="B20" i="21" s="1"/>
  <c r="B44" i="14"/>
  <c r="B5" i="12"/>
  <c r="C5" i="12" s="1"/>
  <c r="D5" i="12" s="1"/>
  <c r="E5" i="12" s="1"/>
  <c r="F5" i="12" s="1"/>
  <c r="G5" i="12" s="1"/>
  <c r="H5" i="12" s="1"/>
  <c r="I5" i="12" s="1"/>
  <c r="J5" i="12" s="1"/>
  <c r="K5" i="12" s="1"/>
  <c r="L5" i="12" s="1"/>
  <c r="A1" i="12"/>
  <c r="B113" i="10"/>
  <c r="B111" i="10"/>
  <c r="B107" i="10"/>
  <c r="D12" i="18" l="1"/>
  <c r="E41" i="10"/>
  <c r="E12" i="18" s="1"/>
  <c r="F41" i="10"/>
  <c r="F12" i="18" s="1"/>
  <c r="G41" i="10"/>
  <c r="G12" i="18" s="1"/>
  <c r="H41" i="10"/>
  <c r="H12" i="18" s="1"/>
  <c r="I41" i="10"/>
  <c r="I12" i="18" s="1"/>
  <c r="J41" i="10"/>
  <c r="J12" i="18" s="1"/>
  <c r="K41" i="10"/>
  <c r="K12" i="18" s="1"/>
  <c r="L41" i="10"/>
  <c r="L12" i="18" s="1"/>
  <c r="C41" i="10"/>
  <c r="C12" i="18" s="1"/>
  <c r="D38" i="10" l="1"/>
  <c r="D9" i="18" s="1"/>
  <c r="E38" i="10"/>
  <c r="E9" i="18" s="1"/>
  <c r="F38" i="10"/>
  <c r="F9" i="18" s="1"/>
  <c r="G38" i="10"/>
  <c r="G9" i="18" s="1"/>
  <c r="H38" i="10"/>
  <c r="H9" i="18" s="1"/>
  <c r="I9" i="18"/>
  <c r="J9" i="18"/>
  <c r="K9" i="18"/>
  <c r="L9" i="18"/>
  <c r="C9" i="18"/>
  <c r="D25" i="18" l="1"/>
  <c r="E54" i="10"/>
  <c r="E25" i="18" s="1"/>
  <c r="F54" i="10"/>
  <c r="F25" i="18" s="1"/>
  <c r="G54" i="10"/>
  <c r="G25" i="18" s="1"/>
  <c r="H54" i="10"/>
  <c r="H25" i="18" s="1"/>
  <c r="I54" i="10"/>
  <c r="I25" i="18" s="1"/>
  <c r="J54" i="10"/>
  <c r="J25" i="18" s="1"/>
  <c r="K54" i="10"/>
  <c r="K25" i="18" s="1"/>
  <c r="C25" i="18"/>
  <c r="L54" i="10" l="1"/>
  <c r="L25" i="18" s="1"/>
  <c r="D47" i="10"/>
  <c r="E47" i="10"/>
  <c r="F47" i="10"/>
  <c r="G47" i="10"/>
  <c r="H47" i="10"/>
  <c r="I47" i="10"/>
  <c r="J47" i="10"/>
  <c r="J18" i="18" l="1"/>
  <c r="K73" i="19"/>
  <c r="H18" i="18"/>
  <c r="I73" i="19"/>
  <c r="F18" i="18"/>
  <c r="G73" i="19"/>
  <c r="C18" i="18"/>
  <c r="D73" i="19"/>
  <c r="I18" i="18"/>
  <c r="J73" i="19"/>
  <c r="E18" i="18"/>
  <c r="F73" i="19"/>
  <c r="L18" i="18"/>
  <c r="D18" i="18"/>
  <c r="E73" i="19"/>
  <c r="K18" i="18"/>
  <c r="L73" i="19"/>
  <c r="G18" i="18"/>
  <c r="H73" i="19"/>
  <c r="B55" i="10"/>
  <c r="B26" i="18" s="1"/>
  <c r="B53" i="10"/>
  <c r="B24" i="18" s="1"/>
  <c r="B57" i="10"/>
  <c r="B50" i="10"/>
  <c r="B60" i="10"/>
  <c r="B49" i="10"/>
  <c r="B59" i="10"/>
  <c r="B47" i="10"/>
  <c r="B56" i="10"/>
  <c r="B54" i="10"/>
  <c r="B25" i="18" s="1"/>
  <c r="B48" i="10"/>
  <c r="B52" i="10"/>
  <c r="B23" i="18" s="1"/>
  <c r="B41" i="10"/>
  <c r="B12" i="18" s="1"/>
  <c r="B39" i="10"/>
  <c r="B38" i="10"/>
  <c r="B9" i="18" s="1"/>
  <c r="B18" i="18" l="1"/>
  <c r="C73" i="19"/>
  <c r="B21" i="18"/>
  <c r="C50" i="10"/>
  <c r="B27" i="18"/>
  <c r="C56" i="10"/>
  <c r="B34" i="21"/>
  <c r="B31" i="21" s="1"/>
  <c r="D30" i="25" s="1"/>
  <c r="D31" i="25" s="1"/>
  <c r="B19" i="18"/>
  <c r="B29" i="18"/>
  <c r="C59" i="10"/>
  <c r="B22" i="18"/>
  <c r="B30" i="18"/>
  <c r="B10" i="18"/>
  <c r="B15" i="18" s="1"/>
  <c r="C39" i="10"/>
  <c r="C44" i="10" s="1"/>
  <c r="B20" i="18"/>
  <c r="B28" i="18"/>
  <c r="C57" i="10"/>
  <c r="B99" i="10"/>
  <c r="B98" i="10"/>
  <c r="B94" i="10"/>
  <c r="B93" i="10" s="1"/>
  <c r="B89" i="10"/>
  <c r="B74" i="10"/>
  <c r="B82" i="10"/>
  <c r="B78" i="10"/>
  <c r="B84" i="10" s="1"/>
  <c r="B61" i="10"/>
  <c r="B44" i="10"/>
  <c r="C61" i="10" l="1"/>
  <c r="C31" i="10" s="1"/>
  <c r="B31" i="18"/>
  <c r="B33" i="18" s="1"/>
  <c r="C22" i="18"/>
  <c r="C20" i="18"/>
  <c r="D49" i="10"/>
  <c r="C21" i="18"/>
  <c r="D50" i="10"/>
  <c r="C30" i="18"/>
  <c r="C29" i="18"/>
  <c r="D59" i="10"/>
  <c r="C28" i="18"/>
  <c r="D57" i="10"/>
  <c r="C10" i="18"/>
  <c r="C15" i="18" s="1"/>
  <c r="D39" i="10"/>
  <c r="C27" i="18"/>
  <c r="D56" i="10"/>
  <c r="B31" i="10"/>
  <c r="C30" i="10"/>
  <c r="B30" i="10"/>
  <c r="C19" i="11"/>
  <c r="E39" i="10" l="1"/>
  <c r="D10" i="18"/>
  <c r="D15" i="18" s="1"/>
  <c r="D44" i="10"/>
  <c r="D30" i="10" s="1"/>
  <c r="E59" i="10"/>
  <c r="D29" i="18"/>
  <c r="E50" i="10"/>
  <c r="D21" i="18"/>
  <c r="D22" i="18"/>
  <c r="B15" i="21"/>
  <c r="B51" i="19"/>
  <c r="C15" i="21"/>
  <c r="C51" i="19"/>
  <c r="D27" i="18"/>
  <c r="E56" i="10"/>
  <c r="E57" i="10"/>
  <c r="D28" i="18"/>
  <c r="D30" i="18"/>
  <c r="E49" i="10"/>
  <c r="D20" i="18"/>
  <c r="B33" i="10"/>
  <c r="E30" i="18" l="1"/>
  <c r="D15" i="21"/>
  <c r="D51" i="19"/>
  <c r="E22" i="18"/>
  <c r="F50" i="10"/>
  <c r="E21" i="18"/>
  <c r="F56" i="10"/>
  <c r="E27" i="18"/>
  <c r="F59" i="10"/>
  <c r="E29" i="18"/>
  <c r="E20" i="18"/>
  <c r="F57" i="10"/>
  <c r="E28" i="18"/>
  <c r="F39" i="10"/>
  <c r="E10" i="18"/>
  <c r="E15" i="18" s="1"/>
  <c r="E44" i="10"/>
  <c r="E30" i="10" s="1"/>
  <c r="G59" i="10" l="1"/>
  <c r="F29" i="18"/>
  <c r="G50" i="10"/>
  <c r="F21" i="18"/>
  <c r="E15" i="21"/>
  <c r="E51" i="19"/>
  <c r="G56" i="10"/>
  <c r="F27" i="18"/>
  <c r="G57" i="10"/>
  <c r="F28" i="18"/>
  <c r="G39" i="10"/>
  <c r="F10" i="18"/>
  <c r="F15" i="18" s="1"/>
  <c r="F44" i="10"/>
  <c r="F30" i="10" s="1"/>
  <c r="G49" i="10"/>
  <c r="F20" i="18"/>
  <c r="F22" i="18"/>
  <c r="F30" i="18"/>
  <c r="G22" i="18" l="1"/>
  <c r="H39" i="10"/>
  <c r="I39" i="10" s="1"/>
  <c r="G10" i="18"/>
  <c r="G15" i="18" s="1"/>
  <c r="G44" i="10"/>
  <c r="G30" i="10" s="1"/>
  <c r="H56" i="10"/>
  <c r="G27" i="18"/>
  <c r="H50" i="10"/>
  <c r="G21" i="18"/>
  <c r="G30" i="18"/>
  <c r="H49" i="10"/>
  <c r="G20" i="18"/>
  <c r="F15" i="21"/>
  <c r="F51" i="19"/>
  <c r="H57" i="10"/>
  <c r="G28" i="18"/>
  <c r="H59" i="10"/>
  <c r="G29" i="18"/>
  <c r="I57" i="10" l="1"/>
  <c r="H28" i="18"/>
  <c r="I59" i="10"/>
  <c r="H29" i="18"/>
  <c r="H10" i="18"/>
  <c r="H15" i="18" s="1"/>
  <c r="H44" i="10"/>
  <c r="H30" i="10" s="1"/>
  <c r="H30" i="18"/>
  <c r="I56" i="10"/>
  <c r="H27" i="18"/>
  <c r="H20" i="18"/>
  <c r="I50" i="10"/>
  <c r="H21" i="18"/>
  <c r="G15" i="21"/>
  <c r="G51" i="19"/>
  <c r="H22" i="18"/>
  <c r="H15" i="21" l="1"/>
  <c r="H51" i="19"/>
  <c r="J59" i="10"/>
  <c r="I29" i="18"/>
  <c r="I22" i="18"/>
  <c r="J50" i="10"/>
  <c r="I21" i="18"/>
  <c r="J56" i="10"/>
  <c r="I27" i="18"/>
  <c r="J39" i="10"/>
  <c r="I10" i="18"/>
  <c r="I15" i="18" s="1"/>
  <c r="I44" i="10"/>
  <c r="I30" i="10" s="1"/>
  <c r="J49" i="10"/>
  <c r="I20" i="18"/>
  <c r="I30" i="18"/>
  <c r="J57" i="10"/>
  <c r="I28" i="18"/>
  <c r="K39" i="10" l="1"/>
  <c r="J10" i="18"/>
  <c r="J15" i="18" s="1"/>
  <c r="J44" i="10"/>
  <c r="J30" i="10" s="1"/>
  <c r="K57" i="10"/>
  <c r="J28" i="18"/>
  <c r="K49" i="10"/>
  <c r="J20" i="18"/>
  <c r="K50" i="10"/>
  <c r="J21" i="18"/>
  <c r="K59" i="10"/>
  <c r="J29" i="18"/>
  <c r="I15" i="21"/>
  <c r="I51" i="19"/>
  <c r="J30" i="18"/>
  <c r="K56" i="10"/>
  <c r="J27" i="18"/>
  <c r="J22" i="18"/>
  <c r="L50" i="10" l="1"/>
  <c r="L21" i="18" s="1"/>
  <c r="K21" i="18"/>
  <c r="L57" i="10"/>
  <c r="L28" i="18" s="1"/>
  <c r="K28" i="18"/>
  <c r="L22" i="18"/>
  <c r="K22" i="18"/>
  <c r="J15" i="21"/>
  <c r="J51" i="19"/>
  <c r="L30" i="18"/>
  <c r="K30" i="18"/>
  <c r="L59" i="10"/>
  <c r="L29" i="18" s="1"/>
  <c r="K29" i="18"/>
  <c r="L20" i="18"/>
  <c r="K20" i="18"/>
  <c r="L56" i="10"/>
  <c r="L27" i="18" s="1"/>
  <c r="K27" i="18"/>
  <c r="L39" i="10"/>
  <c r="K10" i="18"/>
  <c r="K15" i="18" s="1"/>
  <c r="K44" i="10"/>
  <c r="K30" i="10" s="1"/>
  <c r="B18" i="11"/>
  <c r="K15" i="21" l="1"/>
  <c r="K51" i="19"/>
  <c r="L10" i="18"/>
  <c r="L15" i="18" s="1"/>
  <c r="L44" i="10"/>
  <c r="L30" i="10" s="1"/>
  <c r="C17" i="11"/>
  <c r="B21" i="11"/>
  <c r="B11" i="11"/>
  <c r="C10" i="11" s="1"/>
  <c r="L51" i="19" l="1"/>
  <c r="L15" i="21"/>
  <c r="B12" i="11"/>
  <c r="B72" i="12" s="1"/>
  <c r="B5" i="11" l="1"/>
  <c r="C5" i="11" s="1"/>
  <c r="D5" i="11" s="1"/>
  <c r="E5" i="11" s="1"/>
  <c r="F5" i="11" s="1"/>
  <c r="G5" i="11" s="1"/>
  <c r="H5" i="11" s="1"/>
  <c r="I5" i="11" s="1"/>
  <c r="J5" i="11" s="1"/>
  <c r="K5" i="11" s="1"/>
  <c r="L5" i="11" s="1"/>
  <c r="A1" i="11"/>
  <c r="B5" i="10" l="1"/>
  <c r="C5" i="10" s="1"/>
  <c r="D5" i="10" s="1"/>
  <c r="E5" i="10" s="1"/>
  <c r="F5" i="10" s="1"/>
  <c r="G5" i="10" s="1"/>
  <c r="H5" i="10" s="1"/>
  <c r="I5" i="10" s="1"/>
  <c r="J5" i="10" s="1"/>
  <c r="K5" i="10" s="1"/>
  <c r="L5" i="10" s="1"/>
  <c r="A1" i="10"/>
  <c r="D98" i="6"/>
  <c r="E98" i="6"/>
  <c r="E99" i="6" s="1"/>
  <c r="F98" i="6"/>
  <c r="F99" i="6" s="1"/>
  <c r="G98" i="6"/>
  <c r="G99" i="6" s="1"/>
  <c r="H98" i="6"/>
  <c r="H99" i="6" s="1"/>
  <c r="I98" i="6"/>
  <c r="I99" i="6" s="1"/>
  <c r="J98" i="6"/>
  <c r="J99" i="6" s="1"/>
  <c r="K98" i="6"/>
  <c r="K99" i="6" s="1"/>
  <c r="L98" i="6"/>
  <c r="L99" i="6" s="1"/>
  <c r="M98" i="6"/>
  <c r="M99" i="6" s="1"/>
  <c r="C98" i="6"/>
  <c r="C99" i="6" s="1"/>
  <c r="D99" i="6" l="1"/>
  <c r="D71" i="10"/>
  <c r="D82" i="11" s="1"/>
  <c r="D80" i="11"/>
  <c r="K71" i="10"/>
  <c r="K82" i="11" s="1"/>
  <c r="K80" i="11"/>
  <c r="G71" i="10"/>
  <c r="G82" i="11" s="1"/>
  <c r="G80" i="11"/>
  <c r="C71" i="10"/>
  <c r="C82" i="11" s="1"/>
  <c r="C83" i="11" s="1"/>
  <c r="C80" i="11"/>
  <c r="L71" i="10"/>
  <c r="L82" i="11" s="1"/>
  <c r="L80" i="11"/>
  <c r="J71" i="10"/>
  <c r="J82" i="11" s="1"/>
  <c r="J80" i="11"/>
  <c r="F71" i="10"/>
  <c r="F82" i="11" s="1"/>
  <c r="F80" i="11"/>
  <c r="M100" i="6"/>
  <c r="H71" i="10"/>
  <c r="H82" i="11" s="1"/>
  <c r="H80" i="11"/>
  <c r="E100" i="6"/>
  <c r="C100" i="6"/>
  <c r="B94" i="11"/>
  <c r="B80" i="11"/>
  <c r="B84" i="11" s="1"/>
  <c r="B26" i="15" s="1"/>
  <c r="B37" i="16" s="1"/>
  <c r="I71" i="10"/>
  <c r="I82" i="11" s="1"/>
  <c r="I80" i="11"/>
  <c r="E71" i="10"/>
  <c r="E82" i="11" s="1"/>
  <c r="E80" i="11"/>
  <c r="I100" i="6"/>
  <c r="L100" i="6"/>
  <c r="H100" i="6"/>
  <c r="D100" i="6"/>
  <c r="K100" i="6"/>
  <c r="G100" i="6"/>
  <c r="J100" i="6"/>
  <c r="C232" i="7"/>
  <c r="D223" i="7" s="1"/>
  <c r="D113" i="8"/>
  <c r="E113" i="8" s="1"/>
  <c r="F113" i="8" s="1"/>
  <c r="G113" i="8" s="1"/>
  <c r="H113" i="8" s="1"/>
  <c r="I113" i="8" s="1"/>
  <c r="J113" i="8" s="1"/>
  <c r="K113" i="8" s="1"/>
  <c r="L113" i="8" s="1"/>
  <c r="M113" i="8" s="1"/>
  <c r="N113" i="8" s="1"/>
  <c r="E109" i="8"/>
  <c r="E110" i="8" s="1"/>
  <c r="D212" i="7" s="1"/>
  <c r="F109" i="8"/>
  <c r="F110" i="8" s="1"/>
  <c r="E212" i="7" s="1"/>
  <c r="G109" i="8"/>
  <c r="G110" i="8" s="1"/>
  <c r="F212" i="7" s="1"/>
  <c r="H109" i="8"/>
  <c r="H110" i="8" s="1"/>
  <c r="G212" i="7" s="1"/>
  <c r="I109" i="8"/>
  <c r="I110" i="8" s="1"/>
  <c r="H212" i="7" s="1"/>
  <c r="J109" i="8"/>
  <c r="J110" i="8" s="1"/>
  <c r="I212" i="7" s="1"/>
  <c r="K109" i="8"/>
  <c r="K110" i="8" s="1"/>
  <c r="J212" i="7" s="1"/>
  <c r="L109" i="8"/>
  <c r="L110" i="8" s="1"/>
  <c r="K212" i="7" s="1"/>
  <c r="M109" i="8"/>
  <c r="M110" i="8" s="1"/>
  <c r="L212" i="7" s="1"/>
  <c r="N109" i="8"/>
  <c r="N110" i="8" s="1"/>
  <c r="M212" i="7" s="1"/>
  <c r="D109" i="8"/>
  <c r="D110" i="8" s="1"/>
  <c r="C212" i="7" s="1"/>
  <c r="C213" i="7" s="1"/>
  <c r="F105" i="8"/>
  <c r="G105" i="8"/>
  <c r="H105" i="8"/>
  <c r="I105" i="8"/>
  <c r="J105" i="8"/>
  <c r="K105" i="8"/>
  <c r="L105" i="8"/>
  <c r="M105" i="8"/>
  <c r="N105" i="8"/>
  <c r="D101" i="8"/>
  <c r="E101" i="8" s="1"/>
  <c r="D102" i="8"/>
  <c r="D97" i="8"/>
  <c r="D106" i="8" l="1"/>
  <c r="E105" i="8"/>
  <c r="D196" i="7" s="1"/>
  <c r="J33" i="17"/>
  <c r="K196" i="7"/>
  <c r="F33" i="17"/>
  <c r="G196" i="7"/>
  <c r="I33" i="17"/>
  <c r="J196" i="7"/>
  <c r="E33" i="17"/>
  <c r="F196" i="7"/>
  <c r="K33" i="17"/>
  <c r="L196" i="7"/>
  <c r="G33" i="17"/>
  <c r="H196" i="7"/>
  <c r="L33" i="17"/>
  <c r="M196" i="7"/>
  <c r="H33" i="17"/>
  <c r="I196" i="7"/>
  <c r="D33" i="17"/>
  <c r="E196" i="7"/>
  <c r="D114" i="8"/>
  <c r="C225" i="7" s="1"/>
  <c r="B23" i="17" s="1"/>
  <c r="I22" i="17"/>
  <c r="J213" i="7"/>
  <c r="E22" i="17"/>
  <c r="F213" i="7"/>
  <c r="L22" i="17"/>
  <c r="M213" i="7"/>
  <c r="H22" i="17"/>
  <c r="I213" i="7"/>
  <c r="D22" i="17"/>
  <c r="E213" i="7"/>
  <c r="C214" i="7"/>
  <c r="C218" i="7" s="1"/>
  <c r="D210" i="7" s="1"/>
  <c r="K22" i="17"/>
  <c r="L213" i="7"/>
  <c r="G22" i="17"/>
  <c r="H213" i="7"/>
  <c r="C22" i="17"/>
  <c r="D213" i="7"/>
  <c r="J22" i="17"/>
  <c r="K213" i="7"/>
  <c r="F22" i="17"/>
  <c r="G213" i="7"/>
  <c r="C38" i="19"/>
  <c r="D38" i="19"/>
  <c r="K38" i="19"/>
  <c r="F81" i="11"/>
  <c r="F83" i="11" s="1"/>
  <c r="F84" i="11" s="1"/>
  <c r="F26" i="15" s="1"/>
  <c r="F37" i="16" s="1"/>
  <c r="L38" i="19"/>
  <c r="G38" i="19"/>
  <c r="I81" i="11"/>
  <c r="I83" i="11" s="1"/>
  <c r="I84" i="11" s="1"/>
  <c r="I26" i="15" s="1"/>
  <c r="I37" i="16" s="1"/>
  <c r="J38" i="19"/>
  <c r="J81" i="11"/>
  <c r="J83" i="11" s="1"/>
  <c r="J84" i="11" s="1"/>
  <c r="J26" i="15" s="1"/>
  <c r="J37" i="16" s="1"/>
  <c r="G81" i="11"/>
  <c r="G83" i="11" s="1"/>
  <c r="G84" i="11" s="1"/>
  <c r="G26" i="15" s="1"/>
  <c r="G37" i="16" s="1"/>
  <c r="K81" i="11"/>
  <c r="K83" i="11" s="1"/>
  <c r="K84" i="11" s="1"/>
  <c r="K26" i="15" s="1"/>
  <c r="K37" i="16" s="1"/>
  <c r="I38" i="19"/>
  <c r="C217" i="7"/>
  <c r="B22" i="17"/>
  <c r="C84" i="11"/>
  <c r="C26" i="15" s="1"/>
  <c r="C37" i="16" s="1"/>
  <c r="D81" i="11"/>
  <c r="D83" i="11" s="1"/>
  <c r="D84" i="11" s="1"/>
  <c r="D26" i="15" s="1"/>
  <c r="D37" i="16" s="1"/>
  <c r="H81" i="11"/>
  <c r="H83" i="11" s="1"/>
  <c r="H84" i="11" s="1"/>
  <c r="H26" i="15" s="1"/>
  <c r="H37" i="16" s="1"/>
  <c r="L81" i="11"/>
  <c r="L83" i="11" s="1"/>
  <c r="L84" i="11" s="1"/>
  <c r="L26" i="15" s="1"/>
  <c r="L37" i="16" s="1"/>
  <c r="E81" i="11"/>
  <c r="E83" i="11" s="1"/>
  <c r="E84" i="11" s="1"/>
  <c r="E26" i="15" s="1"/>
  <c r="E37" i="16" s="1"/>
  <c r="F100" i="6"/>
  <c r="E114" i="8"/>
  <c r="D225" i="7" s="1"/>
  <c r="C197" i="7" l="1"/>
  <c r="B13" i="17" s="1"/>
  <c r="B19" i="22"/>
  <c r="C231" i="7"/>
  <c r="C233" i="7" s="1"/>
  <c r="D224" i="7" s="1"/>
  <c r="C215" i="7"/>
  <c r="H214" i="7"/>
  <c r="H215" i="7" s="1"/>
  <c r="E214" i="7"/>
  <c r="E215" i="7" s="1"/>
  <c r="M214" i="7"/>
  <c r="M215" i="7" s="1"/>
  <c r="F214" i="7"/>
  <c r="F215" i="7" s="1"/>
  <c r="K214" i="7"/>
  <c r="K215" i="7" s="1"/>
  <c r="J214" i="7"/>
  <c r="J215" i="7" s="1"/>
  <c r="G214" i="7"/>
  <c r="G215" i="7" s="1"/>
  <c r="D214" i="7"/>
  <c r="D215" i="7" s="1"/>
  <c r="L214" i="7"/>
  <c r="L215" i="7" s="1"/>
  <c r="I214" i="7"/>
  <c r="I215" i="7" s="1"/>
  <c r="C219" i="7"/>
  <c r="D211" i="7" s="1"/>
  <c r="C23" i="17"/>
  <c r="D229" i="7"/>
  <c r="D230" i="7" s="1"/>
  <c r="D57" i="6" s="1"/>
  <c r="E38" i="19"/>
  <c r="H38" i="19"/>
  <c r="D209" i="7"/>
  <c r="D217" i="7" s="1"/>
  <c r="F38" i="19"/>
  <c r="F114" i="8"/>
  <c r="E225" i="7" s="1"/>
  <c r="D23" i="17" s="1"/>
  <c r="D222" i="7" l="1"/>
  <c r="D231" i="7" s="1"/>
  <c r="E222" i="7" s="1"/>
  <c r="E231" i="7" s="1"/>
  <c r="D218" i="7"/>
  <c r="E210" i="7" s="1"/>
  <c r="E218" i="7" s="1"/>
  <c r="F210" i="7" s="1"/>
  <c r="F218" i="7" s="1"/>
  <c r="G210" i="7" s="1"/>
  <c r="G218" i="7" s="1"/>
  <c r="H210" i="7" s="1"/>
  <c r="H218" i="7" s="1"/>
  <c r="I210" i="7" s="1"/>
  <c r="I218" i="7" s="1"/>
  <c r="J210" i="7" s="1"/>
  <c r="J218" i="7" s="1"/>
  <c r="K210" i="7" s="1"/>
  <c r="K218" i="7" s="1"/>
  <c r="L210" i="7" s="1"/>
  <c r="L218" i="7" s="1"/>
  <c r="M210" i="7" s="1"/>
  <c r="M218" i="7" s="1"/>
  <c r="E229" i="7"/>
  <c r="E230" i="7" s="1"/>
  <c r="E57" i="6" s="1"/>
  <c r="E209" i="7"/>
  <c r="E217" i="7" s="1"/>
  <c r="G114" i="8"/>
  <c r="F225" i="7" s="1"/>
  <c r="E23" i="17" s="1"/>
  <c r="D219" i="7" l="1"/>
  <c r="E211" i="7" s="1"/>
  <c r="E219" i="7"/>
  <c r="F211" i="7" s="1"/>
  <c r="D232" i="7"/>
  <c r="D233" i="7" s="1"/>
  <c r="F229" i="7"/>
  <c r="F230" i="7" s="1"/>
  <c r="F57" i="6" s="1"/>
  <c r="F222" i="7"/>
  <c r="F231" i="7" s="1"/>
  <c r="F209" i="7"/>
  <c r="F217" i="7" s="1"/>
  <c r="F219" i="7" s="1"/>
  <c r="H114" i="8"/>
  <c r="G225" i="7" s="1"/>
  <c r="F23" i="17" s="1"/>
  <c r="G229" i="7" l="1"/>
  <c r="G230" i="7" s="1"/>
  <c r="G57" i="6" s="1"/>
  <c r="E223" i="7"/>
  <c r="E232" i="7" s="1"/>
  <c r="E233" i="7" s="1"/>
  <c r="E224" i="7"/>
  <c r="G222" i="7"/>
  <c r="G231" i="7" s="1"/>
  <c r="G211" i="7"/>
  <c r="G209" i="7"/>
  <c r="G217" i="7" s="1"/>
  <c r="G219" i="7" s="1"/>
  <c r="I114" i="8"/>
  <c r="H225" i="7" s="1"/>
  <c r="G23" i="17" s="1"/>
  <c r="F223" i="7" l="1"/>
  <c r="F232" i="7" s="1"/>
  <c r="F233" i="7" s="1"/>
  <c r="F224" i="7"/>
  <c r="H222" i="7"/>
  <c r="H231" i="7" s="1"/>
  <c r="H229" i="7"/>
  <c r="H230" i="7" s="1"/>
  <c r="H57" i="6" s="1"/>
  <c r="H209" i="7"/>
  <c r="H217" i="7" s="1"/>
  <c r="H219" i="7" s="1"/>
  <c r="H211" i="7"/>
  <c r="J114" i="8"/>
  <c r="I225" i="7" s="1"/>
  <c r="H23" i="17" s="1"/>
  <c r="I229" i="7" l="1"/>
  <c r="I230" i="7" s="1"/>
  <c r="I57" i="6" s="1"/>
  <c r="I222" i="7"/>
  <c r="I231" i="7" s="1"/>
  <c r="G223" i="7"/>
  <c r="G232" i="7" s="1"/>
  <c r="G233" i="7" s="1"/>
  <c r="G224" i="7"/>
  <c r="I209" i="7"/>
  <c r="I217" i="7" s="1"/>
  <c r="I219" i="7" s="1"/>
  <c r="I211" i="7"/>
  <c r="K114" i="8"/>
  <c r="J225" i="7" s="1"/>
  <c r="I23" i="17" s="1"/>
  <c r="H223" i="7" l="1"/>
  <c r="H232" i="7" s="1"/>
  <c r="H233" i="7" s="1"/>
  <c r="H224" i="7"/>
  <c r="J222" i="7"/>
  <c r="J231" i="7" s="1"/>
  <c r="J229" i="7"/>
  <c r="J230" i="7" s="1"/>
  <c r="J57" i="6" s="1"/>
  <c r="J211" i="7"/>
  <c r="J209" i="7"/>
  <c r="J217" i="7" s="1"/>
  <c r="J219" i="7" s="1"/>
  <c r="L114" i="8"/>
  <c r="K225" i="7" s="1"/>
  <c r="J23" i="17" s="1"/>
  <c r="D104" i="8"/>
  <c r="E80" i="8"/>
  <c r="E85" i="8" s="1"/>
  <c r="F80" i="8"/>
  <c r="F85" i="8" s="1"/>
  <c r="G80" i="8"/>
  <c r="G85" i="8" s="1"/>
  <c r="H80" i="8"/>
  <c r="H85" i="8" s="1"/>
  <c r="I80" i="8"/>
  <c r="I85" i="8" s="1"/>
  <c r="J80" i="8"/>
  <c r="J85" i="8" s="1"/>
  <c r="K85" i="8"/>
  <c r="L85" i="8"/>
  <c r="M85" i="8"/>
  <c r="N85" i="8"/>
  <c r="D80" i="8"/>
  <c r="D85" i="8" s="1"/>
  <c r="D79" i="8"/>
  <c r="B31" i="17" s="1"/>
  <c r="D78" i="8"/>
  <c r="D86" i="8" l="1"/>
  <c r="C198" i="7"/>
  <c r="C199" i="7" s="1"/>
  <c r="D107" i="8"/>
  <c r="K164" i="7"/>
  <c r="G164" i="7"/>
  <c r="J164" i="7"/>
  <c r="L164" i="7"/>
  <c r="H164" i="7"/>
  <c r="D164" i="7"/>
  <c r="C164" i="7"/>
  <c r="F164" i="7"/>
  <c r="M164" i="7"/>
  <c r="I164" i="7"/>
  <c r="E164" i="7"/>
  <c r="G182" i="7"/>
  <c r="G183" i="7" s="1"/>
  <c r="G184" i="7" s="1"/>
  <c r="J182" i="7"/>
  <c r="F182" i="7"/>
  <c r="M182" i="7"/>
  <c r="M183" i="7" s="1"/>
  <c r="M184" i="7" s="1"/>
  <c r="I182" i="7"/>
  <c r="I183" i="7" s="1"/>
  <c r="I184" i="7" s="1"/>
  <c r="E182" i="7"/>
  <c r="E183" i="7" s="1"/>
  <c r="E184" i="7" s="1"/>
  <c r="K182" i="7"/>
  <c r="K183" i="7" s="1"/>
  <c r="K184" i="7" s="1"/>
  <c r="C182" i="7"/>
  <c r="L182" i="7"/>
  <c r="H182" i="7"/>
  <c r="D182" i="7"/>
  <c r="K222" i="7"/>
  <c r="K231" i="7" s="1"/>
  <c r="K229" i="7"/>
  <c r="K230" i="7" s="1"/>
  <c r="K57" i="6" s="1"/>
  <c r="I223" i="7"/>
  <c r="I232" i="7" s="1"/>
  <c r="I233" i="7" s="1"/>
  <c r="I224" i="7"/>
  <c r="K209" i="7"/>
  <c r="K217" i="7" s="1"/>
  <c r="K219" i="7" s="1"/>
  <c r="K211" i="7"/>
  <c r="D84" i="8"/>
  <c r="M114" i="8"/>
  <c r="L225" i="7" s="1"/>
  <c r="K23" i="17" s="1"/>
  <c r="N114" i="8"/>
  <c r="M225" i="7" s="1"/>
  <c r="L23" i="17" s="1"/>
  <c r="C165" i="7" l="1"/>
  <c r="B11" i="17" s="1"/>
  <c r="B17" i="22"/>
  <c r="C183" i="7"/>
  <c r="C184" i="7" s="1"/>
  <c r="D87" i="8"/>
  <c r="D183" i="7"/>
  <c r="D184" i="7" s="1"/>
  <c r="L183" i="7"/>
  <c r="L184" i="7" s="1"/>
  <c r="J183" i="7"/>
  <c r="J184" i="7" s="1"/>
  <c r="H183" i="7"/>
  <c r="H184" i="7" s="1"/>
  <c r="C200" i="7"/>
  <c r="F183" i="7"/>
  <c r="F184" i="7" s="1"/>
  <c r="J223" i="7"/>
  <c r="J232" i="7" s="1"/>
  <c r="J233" i="7" s="1"/>
  <c r="J224" i="7"/>
  <c r="L229" i="7"/>
  <c r="L230" i="7" s="1"/>
  <c r="L57" i="6" s="1"/>
  <c r="L222" i="7"/>
  <c r="L231" i="7" s="1"/>
  <c r="L209" i="7"/>
  <c r="L217" i="7" s="1"/>
  <c r="L219" i="7" s="1"/>
  <c r="L211" i="7"/>
  <c r="C166" i="7" l="1"/>
  <c r="C167" i="7" s="1"/>
  <c r="M222" i="7"/>
  <c r="M231" i="7" s="1"/>
  <c r="M229" i="7"/>
  <c r="M230" i="7" s="1"/>
  <c r="M57" i="6" s="1"/>
  <c r="K223" i="7"/>
  <c r="K232" i="7" s="1"/>
  <c r="K233" i="7" s="1"/>
  <c r="K224" i="7"/>
  <c r="M211" i="7"/>
  <c r="M209" i="7"/>
  <c r="M217" i="7" s="1"/>
  <c r="M219" i="7" s="1"/>
  <c r="C168" i="7" l="1"/>
  <c r="L223" i="7"/>
  <c r="L232" i="7" s="1"/>
  <c r="L233" i="7" s="1"/>
  <c r="L224" i="7"/>
  <c r="E69" i="8"/>
  <c r="F69" i="8"/>
  <c r="G69" i="8"/>
  <c r="H69" i="8"/>
  <c r="I69" i="8"/>
  <c r="J69" i="8"/>
  <c r="L69" i="8"/>
  <c r="M69" i="8"/>
  <c r="D69" i="8"/>
  <c r="D70" i="8"/>
  <c r="M223" i="7" l="1"/>
  <c r="M232" i="7" s="1"/>
  <c r="M233" i="7" s="1"/>
  <c r="M224" i="7"/>
  <c r="D68" i="8"/>
  <c r="E68" i="8" s="1"/>
  <c r="F68" i="8" s="1"/>
  <c r="G68" i="8" s="1"/>
  <c r="H68" i="8" s="1"/>
  <c r="I68" i="8" s="1"/>
  <c r="J68" i="8" s="1"/>
  <c r="K68" i="8" s="1"/>
  <c r="L68" i="8" s="1"/>
  <c r="M68" i="8" s="1"/>
  <c r="N68" i="8" s="1"/>
  <c r="D67" i="8"/>
  <c r="D75" i="8" s="1"/>
  <c r="B16" i="22" s="1"/>
  <c r="D66" i="8"/>
  <c r="D74" i="8" s="1"/>
  <c r="D56" i="8"/>
  <c r="E56" i="8" s="1"/>
  <c r="F56" i="8" s="1"/>
  <c r="G56" i="8" s="1"/>
  <c r="H56" i="8" s="1"/>
  <c r="I56" i="8" s="1"/>
  <c r="J56" i="8" s="1"/>
  <c r="K56" i="8" s="1"/>
  <c r="L56" i="8" s="1"/>
  <c r="M56" i="8" s="1"/>
  <c r="N56" i="8" s="1"/>
  <c r="C148" i="7" l="1"/>
  <c r="C149" i="7"/>
  <c r="D73" i="8"/>
  <c r="B10" i="17" l="1"/>
  <c r="C150" i="7"/>
  <c r="C151" i="7" s="1"/>
  <c r="D76" i="8"/>
  <c r="C152" i="7" l="1"/>
  <c r="D54" i="8"/>
  <c r="E54" i="8" s="1"/>
  <c r="F54" i="8" s="1"/>
  <c r="G54" i="8" s="1"/>
  <c r="H54" i="8" s="1"/>
  <c r="I54" i="8" s="1"/>
  <c r="J54" i="8" s="1"/>
  <c r="K54" i="8" s="1"/>
  <c r="L54" i="8" s="1"/>
  <c r="M54" i="8" s="1"/>
  <c r="N54" i="8" s="1"/>
  <c r="D63" i="8" l="1"/>
  <c r="B15" i="22" s="1"/>
  <c r="D53" i="8"/>
  <c r="D57" i="8"/>
  <c r="D51" i="8"/>
  <c r="D62" i="8" s="1"/>
  <c r="C133" i="7" l="1"/>
  <c r="C132" i="7"/>
  <c r="E57" i="8"/>
  <c r="C33" i="17" s="1"/>
  <c r="B33" i="17"/>
  <c r="E53" i="8"/>
  <c r="B35" i="17"/>
  <c r="D34" i="8"/>
  <c r="D33" i="8"/>
  <c r="D61" i="8"/>
  <c r="B9" i="17" l="1"/>
  <c r="D47" i="8"/>
  <c r="C116" i="7" s="1"/>
  <c r="C134" i="7"/>
  <c r="D64" i="8"/>
  <c r="F53" i="8"/>
  <c r="C35" i="17"/>
  <c r="C135" i="7" l="1"/>
  <c r="G53" i="8"/>
  <c r="D35" i="17"/>
  <c r="C136" i="7" l="1"/>
  <c r="H53" i="8"/>
  <c r="E35" i="17"/>
  <c r="E36" i="8"/>
  <c r="F36" i="8"/>
  <c r="G36" i="8"/>
  <c r="H36" i="8"/>
  <c r="I36" i="8"/>
  <c r="J36" i="8"/>
  <c r="K36" i="8"/>
  <c r="L36" i="8"/>
  <c r="M36" i="8"/>
  <c r="N36" i="8"/>
  <c r="D36" i="8"/>
  <c r="E26" i="8"/>
  <c r="F26" i="8"/>
  <c r="G26" i="8"/>
  <c r="H26" i="8"/>
  <c r="I26" i="8"/>
  <c r="J26" i="8"/>
  <c r="K26" i="8"/>
  <c r="L26" i="8"/>
  <c r="M26" i="8"/>
  <c r="N26" i="8"/>
  <c r="N29" i="8" s="1"/>
  <c r="D26" i="8"/>
  <c r="D48" i="8" l="1"/>
  <c r="B14" i="22" s="1"/>
  <c r="D46" i="8"/>
  <c r="J29" i="8"/>
  <c r="I102" i="7" s="1"/>
  <c r="F29" i="8"/>
  <c r="E102" i="7" s="1"/>
  <c r="M29" i="8"/>
  <c r="L102" i="7" s="1"/>
  <c r="I29" i="8"/>
  <c r="H102" i="7" s="1"/>
  <c r="E29" i="8"/>
  <c r="D102" i="7" s="1"/>
  <c r="L29" i="8"/>
  <c r="K102" i="7" s="1"/>
  <c r="H29" i="8"/>
  <c r="G102" i="7" s="1"/>
  <c r="D29" i="8"/>
  <c r="C102" i="7" s="1"/>
  <c r="K29" i="8"/>
  <c r="J102" i="7" s="1"/>
  <c r="G29" i="8"/>
  <c r="F102" i="7" s="1"/>
  <c r="L30" i="17"/>
  <c r="M102" i="7"/>
  <c r="H30" i="17"/>
  <c r="B30" i="17"/>
  <c r="I30" i="17"/>
  <c r="E30" i="17"/>
  <c r="J30" i="17"/>
  <c r="F30" i="17"/>
  <c r="D30" i="17"/>
  <c r="K30" i="17"/>
  <c r="G30" i="17"/>
  <c r="C30" i="17"/>
  <c r="I53" i="8"/>
  <c r="F35" i="17"/>
  <c r="C113" i="7"/>
  <c r="C122" i="7" s="1"/>
  <c r="C123" i="7" s="1"/>
  <c r="D25" i="8"/>
  <c r="D30" i="8" l="1"/>
  <c r="C103" i="7" s="1"/>
  <c r="D49" i="8"/>
  <c r="C117" i="7"/>
  <c r="C115" i="7"/>
  <c r="B13" i="22"/>
  <c r="B29" i="17"/>
  <c r="J53" i="8"/>
  <c r="G35" i="17"/>
  <c r="D28" i="8"/>
  <c r="C94" i="7"/>
  <c r="C83" i="7"/>
  <c r="C72" i="7"/>
  <c r="B21" i="17" l="1"/>
  <c r="C12" i="7"/>
  <c r="B14" i="17"/>
  <c r="B15" i="17" s="1"/>
  <c r="C74" i="7"/>
  <c r="D68" i="7" s="1"/>
  <c r="C85" i="7"/>
  <c r="D79" i="7" s="1"/>
  <c r="C96" i="7"/>
  <c r="D90" i="7" s="1"/>
  <c r="C104" i="7"/>
  <c r="C108" i="7" s="1"/>
  <c r="D31" i="8"/>
  <c r="C118" i="7"/>
  <c r="C119" i="7" s="1"/>
  <c r="C125" i="7" s="1"/>
  <c r="D66" i="7"/>
  <c r="D72" i="7" s="1"/>
  <c r="D74" i="7" s="1"/>
  <c r="D88" i="7"/>
  <c r="D94" i="7" s="1"/>
  <c r="D77" i="7"/>
  <c r="D83" i="7" s="1"/>
  <c r="K53" i="8"/>
  <c r="H35" i="17"/>
  <c r="B20" i="22"/>
  <c r="B9" i="22"/>
  <c r="B10" i="23" s="1"/>
  <c r="D34" i="25" s="1"/>
  <c r="D35" i="25" s="1"/>
  <c r="E68" i="7"/>
  <c r="C105" i="7" l="1"/>
  <c r="C109" i="7" s="1"/>
  <c r="D100" i="7" s="1"/>
  <c r="E88" i="7"/>
  <c r="E94" i="7" s="1"/>
  <c r="E96" i="7" s="1"/>
  <c r="D96" i="7"/>
  <c r="E90" i="7" s="1"/>
  <c r="E66" i="7"/>
  <c r="E72" i="7" s="1"/>
  <c r="E74" i="7" s="1"/>
  <c r="F68" i="7" s="1"/>
  <c r="E77" i="7"/>
  <c r="E83" i="7" s="1"/>
  <c r="E85" i="7" s="1"/>
  <c r="D85" i="7"/>
  <c r="C120" i="7"/>
  <c r="C124" i="7"/>
  <c r="D113" i="7" s="1"/>
  <c r="D122" i="7" s="1"/>
  <c r="E79" i="7"/>
  <c r="D99" i="7"/>
  <c r="L53" i="8"/>
  <c r="I35" i="17"/>
  <c r="F90" i="7"/>
  <c r="F88" i="7"/>
  <c r="F94" i="7" s="1"/>
  <c r="F96" i="7" s="1"/>
  <c r="F79" i="7"/>
  <c r="F66" i="7"/>
  <c r="F72" i="7" s="1"/>
  <c r="F74" i="7" s="1"/>
  <c r="C110" i="7" l="1"/>
  <c r="D101" i="7" s="1"/>
  <c r="C106" i="7"/>
  <c r="C112" i="6" s="1"/>
  <c r="B17" i="13" s="1"/>
  <c r="F77" i="7"/>
  <c r="F83" i="7" s="1"/>
  <c r="F85" i="7" s="1"/>
  <c r="D107" i="7"/>
  <c r="D47" i="6" s="1"/>
  <c r="D121" i="7"/>
  <c r="C126" i="7"/>
  <c r="D115" i="7" s="1"/>
  <c r="D114" i="7"/>
  <c r="M53" i="8"/>
  <c r="J35" i="17"/>
  <c r="G88" i="7"/>
  <c r="G94" i="7" s="1"/>
  <c r="G96" i="7" s="1"/>
  <c r="G90" i="7"/>
  <c r="G79" i="7"/>
  <c r="G66" i="7"/>
  <c r="G72" i="7" s="1"/>
  <c r="G74" i="7" s="1"/>
  <c r="G68" i="7"/>
  <c r="B68" i="12" l="1"/>
  <c r="B20" i="19"/>
  <c r="B38" i="19"/>
  <c r="D48" i="6"/>
  <c r="C23" i="22"/>
  <c r="G77" i="7"/>
  <c r="G83" i="7" s="1"/>
  <c r="G85" i="7" s="1"/>
  <c r="D123" i="7"/>
  <c r="B53" i="22"/>
  <c r="N53" i="8"/>
  <c r="L35" i="17" s="1"/>
  <c r="K35" i="17"/>
  <c r="H88" i="7"/>
  <c r="H94" i="7" s="1"/>
  <c r="H96" i="7" s="1"/>
  <c r="H90" i="7"/>
  <c r="H79" i="7"/>
  <c r="H77" i="7"/>
  <c r="H83" i="7" s="1"/>
  <c r="H85" i="7" s="1"/>
  <c r="H66" i="7"/>
  <c r="H72" i="7" s="1"/>
  <c r="H74" i="7" s="1"/>
  <c r="H68" i="7"/>
  <c r="I88" i="7" l="1"/>
  <c r="I94" i="7" s="1"/>
  <c r="I96" i="7" s="1"/>
  <c r="I90" i="7"/>
  <c r="I77" i="7"/>
  <c r="I83" i="7" s="1"/>
  <c r="I85" i="7" s="1"/>
  <c r="I79" i="7"/>
  <c r="I68" i="7"/>
  <c r="I66" i="7"/>
  <c r="I72" i="7" s="1"/>
  <c r="I74" i="7" s="1"/>
  <c r="J90" i="7" l="1"/>
  <c r="J88" i="7"/>
  <c r="J94" i="7" s="1"/>
  <c r="J96" i="7" s="1"/>
  <c r="J79" i="7"/>
  <c r="J77" i="7"/>
  <c r="J83" i="7" s="1"/>
  <c r="J85" i="7" s="1"/>
  <c r="J68" i="7"/>
  <c r="J66" i="7"/>
  <c r="J72" i="7" s="1"/>
  <c r="J74" i="7" s="1"/>
  <c r="K88" i="7" l="1"/>
  <c r="K94" i="7" s="1"/>
  <c r="K96" i="7" s="1"/>
  <c r="K90" i="7"/>
  <c r="K77" i="7"/>
  <c r="K83" i="7" s="1"/>
  <c r="K85" i="7" s="1"/>
  <c r="K79" i="7"/>
  <c r="K66" i="7"/>
  <c r="K72" i="7" s="1"/>
  <c r="K74" i="7" s="1"/>
  <c r="K68" i="7"/>
  <c r="L88" i="7" l="1"/>
  <c r="L94" i="7" s="1"/>
  <c r="L96" i="7" s="1"/>
  <c r="L90" i="7"/>
  <c r="L79" i="7"/>
  <c r="L77" i="7"/>
  <c r="L83" i="7" s="1"/>
  <c r="L85" i="7" s="1"/>
  <c r="L66" i="7"/>
  <c r="L72" i="7" s="1"/>
  <c r="L74" i="7" s="1"/>
  <c r="L68" i="7"/>
  <c r="M88" i="7" l="1"/>
  <c r="M94" i="7" s="1"/>
  <c r="M96" i="7" s="1"/>
  <c r="M90" i="7"/>
  <c r="M77" i="7"/>
  <c r="M83" i="7" s="1"/>
  <c r="M85" i="7" s="1"/>
  <c r="M79" i="7"/>
  <c r="M68" i="7"/>
  <c r="M66" i="7"/>
  <c r="M72" i="7" s="1"/>
  <c r="M74" i="7" s="1"/>
  <c r="C62" i="7" l="1"/>
  <c r="D53" i="7" s="1"/>
  <c r="C59" i="7"/>
  <c r="L21" i="8"/>
  <c r="M21" i="8"/>
  <c r="N21" i="8"/>
  <c r="E21" i="8" l="1"/>
  <c r="F21" i="8"/>
  <c r="I21" i="8"/>
  <c r="J21" i="8"/>
  <c r="K21" i="8"/>
  <c r="D21" i="8"/>
  <c r="N22" i="8" l="1"/>
  <c r="M55" i="7" s="1"/>
  <c r="L20" i="17" s="1"/>
  <c r="M22" i="8"/>
  <c r="L55" i="7" s="1"/>
  <c r="K20" i="17" s="1"/>
  <c r="L22" i="8"/>
  <c r="K55" i="7" s="1"/>
  <c r="J20" i="17" s="1"/>
  <c r="K22" i="8"/>
  <c r="J55" i="7" s="1"/>
  <c r="I20" i="17" s="1"/>
  <c r="J22" i="8"/>
  <c r="I55" i="7" s="1"/>
  <c r="H20" i="17" s="1"/>
  <c r="I22" i="8"/>
  <c r="H55" i="7" s="1"/>
  <c r="G20" i="17" s="1"/>
  <c r="H22" i="8"/>
  <c r="G55" i="7" s="1"/>
  <c r="F20" i="17" s="1"/>
  <c r="G22" i="8"/>
  <c r="F55" i="7" s="1"/>
  <c r="E20" i="17" s="1"/>
  <c r="F22" i="8"/>
  <c r="E55" i="7" s="1"/>
  <c r="D20" i="17" s="1"/>
  <c r="E22" i="8"/>
  <c r="D55" i="7" s="1"/>
  <c r="D22" i="8"/>
  <c r="C55" i="7" s="1"/>
  <c r="C61" i="7" l="1"/>
  <c r="C63" i="7" s="1"/>
  <c r="D54" i="7" s="1"/>
  <c r="B20" i="17"/>
  <c r="D59" i="7"/>
  <c r="D60" i="7" s="1"/>
  <c r="D46" i="6" s="1"/>
  <c r="C20" i="17"/>
  <c r="C36" i="17"/>
  <c r="C48" i="7"/>
  <c r="C45" i="7"/>
  <c r="E59" i="7" l="1"/>
  <c r="E60" i="7" s="1"/>
  <c r="E46" i="6" s="1"/>
  <c r="D52" i="7"/>
  <c r="D61" i="7" s="1"/>
  <c r="E52" i="7" s="1"/>
  <c r="E61" i="7" s="1"/>
  <c r="D62" i="7"/>
  <c r="E53" i="7" s="1"/>
  <c r="C19" i="17"/>
  <c r="C47" i="7"/>
  <c r="B19" i="17"/>
  <c r="F15" i="8"/>
  <c r="D39" i="7"/>
  <c r="D36" i="17" l="1"/>
  <c r="F16" i="8"/>
  <c r="E41" i="7" s="1"/>
  <c r="D19" i="17" s="1"/>
  <c r="F59" i="7"/>
  <c r="F60" i="7" s="1"/>
  <c r="F46" i="6" s="1"/>
  <c r="D63" i="7"/>
  <c r="E54" i="7" s="1"/>
  <c r="C49" i="7"/>
  <c r="D40" i="7" s="1"/>
  <c r="E62" i="7"/>
  <c r="F53" i="7" s="1"/>
  <c r="G15" i="8"/>
  <c r="D38" i="7"/>
  <c r="D47" i="7" s="1"/>
  <c r="F52" i="7"/>
  <c r="F61" i="7" s="1"/>
  <c r="C58" i="6"/>
  <c r="C31" i="7"/>
  <c r="B173" i="9"/>
  <c r="C34" i="7"/>
  <c r="D25" i="7" s="1"/>
  <c r="H28" i="7"/>
  <c r="H30" i="7" s="1"/>
  <c r="I28" i="7"/>
  <c r="I30" i="7" s="1"/>
  <c r="J28" i="7"/>
  <c r="J30" i="7" s="1"/>
  <c r="K28" i="7"/>
  <c r="K30" i="7" s="1"/>
  <c r="L28" i="7"/>
  <c r="L30" i="7" s="1"/>
  <c r="M28" i="7"/>
  <c r="M30" i="7" s="1"/>
  <c r="G59" i="7" l="1"/>
  <c r="G60" i="7" s="1"/>
  <c r="G46" i="6" s="1"/>
  <c r="E36" i="17"/>
  <c r="G16" i="8"/>
  <c r="F41" i="7" s="1"/>
  <c r="E19" i="17" s="1"/>
  <c r="E63" i="7"/>
  <c r="F54" i="7" s="1"/>
  <c r="E38" i="7"/>
  <c r="E47" i="7" s="1"/>
  <c r="F62" i="7"/>
  <c r="G53" i="7" s="1"/>
  <c r="B26" i="13"/>
  <c r="B67" i="12" s="1"/>
  <c r="B20" i="16"/>
  <c r="B30" i="16" s="1"/>
  <c r="B88" i="11"/>
  <c r="H15" i="8"/>
  <c r="G52" i="7"/>
  <c r="G61" i="7" s="1"/>
  <c r="H59" i="7" l="1"/>
  <c r="H60" i="7" s="1"/>
  <c r="H46" i="6" s="1"/>
  <c r="F36" i="17"/>
  <c r="H16" i="8"/>
  <c r="G41" i="7" s="1"/>
  <c r="F19" i="17" s="1"/>
  <c r="F63" i="7"/>
  <c r="G54" i="7" s="1"/>
  <c r="F38" i="7"/>
  <c r="F47" i="7" s="1"/>
  <c r="G62" i="7"/>
  <c r="H53" i="7" s="1"/>
  <c r="I15" i="8"/>
  <c r="H52" i="7"/>
  <c r="H61" i="7" s="1"/>
  <c r="I59" i="7"/>
  <c r="I60" i="7" s="1"/>
  <c r="I46" i="6" s="1"/>
  <c r="G36" i="17" l="1"/>
  <c r="I16" i="8"/>
  <c r="H41" i="7" s="1"/>
  <c r="G19" i="17" s="1"/>
  <c r="G63" i="7"/>
  <c r="H54" i="7" s="1"/>
  <c r="G38" i="7"/>
  <c r="G47" i="7" s="1"/>
  <c r="H62" i="7"/>
  <c r="I53" i="7" s="1"/>
  <c r="I52" i="7"/>
  <c r="I61" i="7" s="1"/>
  <c r="J59" i="7"/>
  <c r="J60" i="7" s="1"/>
  <c r="J46" i="6" s="1"/>
  <c r="H36" i="17" l="1"/>
  <c r="J16" i="8"/>
  <c r="I41" i="7" s="1"/>
  <c r="H19" i="17" s="1"/>
  <c r="H63" i="7"/>
  <c r="I54" i="7" s="1"/>
  <c r="H38" i="7"/>
  <c r="H47" i="7" s="1"/>
  <c r="I62" i="7"/>
  <c r="J53" i="7" s="1"/>
  <c r="J52" i="7"/>
  <c r="J61" i="7" s="1"/>
  <c r="K59" i="7"/>
  <c r="K60" i="7" s="1"/>
  <c r="K46" i="6" s="1"/>
  <c r="J36" i="17" l="1"/>
  <c r="L16" i="8"/>
  <c r="K41" i="7" s="1"/>
  <c r="J19" i="17" s="1"/>
  <c r="I36" i="17"/>
  <c r="K16" i="8"/>
  <c r="J41" i="7" s="1"/>
  <c r="I19" i="17" s="1"/>
  <c r="I63" i="7"/>
  <c r="J54" i="7" s="1"/>
  <c r="I38" i="7"/>
  <c r="I47" i="7" s="1"/>
  <c r="J62" i="7"/>
  <c r="K53" i="7" s="1"/>
  <c r="L59" i="7"/>
  <c r="L60" i="7" s="1"/>
  <c r="L46" i="6" s="1"/>
  <c r="K52" i="7"/>
  <c r="K61" i="7" s="1"/>
  <c r="K36" i="17" l="1"/>
  <c r="M16" i="8"/>
  <c r="L41" i="7" s="1"/>
  <c r="K19" i="17" s="1"/>
  <c r="J63" i="7"/>
  <c r="K54" i="7" s="1"/>
  <c r="J38" i="7"/>
  <c r="J47" i="7" s="1"/>
  <c r="K62" i="7"/>
  <c r="L53" i="7" s="1"/>
  <c r="M59" i="7"/>
  <c r="M60" i="7" s="1"/>
  <c r="M46" i="6" s="1"/>
  <c r="L52" i="7"/>
  <c r="L61" i="7" s="1"/>
  <c r="L36" i="17" l="1"/>
  <c r="N16" i="8"/>
  <c r="M41" i="7" s="1"/>
  <c r="L19" i="17" s="1"/>
  <c r="K63" i="7"/>
  <c r="L54" i="7" s="1"/>
  <c r="K38" i="7"/>
  <c r="K47" i="7" s="1"/>
  <c r="L62" i="7"/>
  <c r="M53" i="7" s="1"/>
  <c r="M62" i="7" s="1"/>
  <c r="M52" i="7"/>
  <c r="M61" i="7" s="1"/>
  <c r="M63" i="7" l="1"/>
  <c r="L63" i="7"/>
  <c r="M54" i="7" s="1"/>
  <c r="L38" i="7"/>
  <c r="L47" i="7" s="1"/>
  <c r="E9" i="8"/>
  <c r="E8" i="8" s="1"/>
  <c r="C38" i="17" s="1"/>
  <c r="F9" i="8"/>
  <c r="F8" i="8" s="1"/>
  <c r="D38" i="17" s="1"/>
  <c r="G9" i="8"/>
  <c r="G8" i="8" s="1"/>
  <c r="E38" i="17" s="1"/>
  <c r="H9" i="8"/>
  <c r="H8" i="8" s="1"/>
  <c r="F38" i="17" s="1"/>
  <c r="I9" i="8"/>
  <c r="I8" i="8" s="1"/>
  <c r="G38" i="17" s="1"/>
  <c r="J9" i="8"/>
  <c r="J8" i="8" s="1"/>
  <c r="H38" i="17" s="1"/>
  <c r="K9" i="8"/>
  <c r="K8" i="8" s="1"/>
  <c r="I38" i="17" s="1"/>
  <c r="L9" i="8"/>
  <c r="L8" i="8" s="1"/>
  <c r="J38" i="17" s="1"/>
  <c r="M9" i="8"/>
  <c r="M8" i="8" s="1"/>
  <c r="K38" i="17" s="1"/>
  <c r="N9" i="8"/>
  <c r="N8" i="8" s="1"/>
  <c r="L38" i="17" s="1"/>
  <c r="D9" i="8"/>
  <c r="M38" i="7" l="1"/>
  <c r="M47" i="7" s="1"/>
  <c r="D8" i="8"/>
  <c r="B38" i="17" s="1"/>
  <c r="B32" i="17"/>
  <c r="N11" i="8"/>
  <c r="M27" i="7" s="1"/>
  <c r="L18" i="17" s="1"/>
  <c r="M11" i="8"/>
  <c r="L27" i="7" s="1"/>
  <c r="K18" i="17" s="1"/>
  <c r="L11" i="8"/>
  <c r="K27" i="7" s="1"/>
  <c r="J18" i="17" s="1"/>
  <c r="K11" i="8"/>
  <c r="J27" i="7" s="1"/>
  <c r="I18" i="17" s="1"/>
  <c r="J11" i="8"/>
  <c r="I27" i="7" s="1"/>
  <c r="H18" i="17" s="1"/>
  <c r="I11" i="8"/>
  <c r="H27" i="7" s="1"/>
  <c r="G18" i="17" s="1"/>
  <c r="H11" i="8"/>
  <c r="G27" i="7" s="1"/>
  <c r="F18" i="17" s="1"/>
  <c r="G11" i="8"/>
  <c r="F27" i="7" s="1"/>
  <c r="E18" i="17" s="1"/>
  <c r="F11" i="8"/>
  <c r="E27" i="7" s="1"/>
  <c r="D18" i="17" s="1"/>
  <c r="E11" i="8"/>
  <c r="D27" i="7" s="1"/>
  <c r="D11" i="8"/>
  <c r="C27" i="7" s="1"/>
  <c r="D5" i="8"/>
  <c r="E5" i="8" s="1"/>
  <c r="F5" i="8" s="1"/>
  <c r="G5" i="8" s="1"/>
  <c r="H5" i="8" s="1"/>
  <c r="I5" i="8" s="1"/>
  <c r="J5" i="8" s="1"/>
  <c r="K5" i="8" s="1"/>
  <c r="L5" i="8" s="1"/>
  <c r="M5" i="8" s="1"/>
  <c r="N5" i="8" s="1"/>
  <c r="A1" i="8"/>
  <c r="B39" i="17" l="1"/>
  <c r="D31" i="7"/>
  <c r="C18" i="17"/>
  <c r="C33" i="7"/>
  <c r="B18" i="17"/>
  <c r="B24" i="17" s="1"/>
  <c r="B26" i="17" s="1"/>
  <c r="B42" i="21" s="1"/>
  <c r="C16" i="7"/>
  <c r="B83" i="22" s="1"/>
  <c r="C15" i="7"/>
  <c r="B80" i="22" s="1"/>
  <c r="C14" i="7"/>
  <c r="C13" i="7"/>
  <c r="C11" i="7"/>
  <c r="B78" i="22" s="1"/>
  <c r="C10" i="7"/>
  <c r="C9" i="7"/>
  <c r="C8" i="7"/>
  <c r="C5" i="7"/>
  <c r="D5" i="7" s="1"/>
  <c r="E5" i="7" s="1"/>
  <c r="F5" i="7" s="1"/>
  <c r="G5" i="7" s="1"/>
  <c r="H5" i="7" s="1"/>
  <c r="I5" i="7" s="1"/>
  <c r="J5" i="7" s="1"/>
  <c r="K5" i="7" s="1"/>
  <c r="L5" i="7" s="1"/>
  <c r="M5" i="7" s="1"/>
  <c r="A1" i="7"/>
  <c r="E31" i="7" l="1"/>
  <c r="E32" i="7" s="1"/>
  <c r="E44" i="6" s="1"/>
  <c r="D32" i="7"/>
  <c r="D44" i="6" s="1"/>
  <c r="D24" i="7"/>
  <c r="D33" i="7" s="1"/>
  <c r="E24" i="7" s="1"/>
  <c r="C35" i="7"/>
  <c r="D26" i="7" s="1"/>
  <c r="B41" i="17"/>
  <c r="D10" i="25" s="1"/>
  <c r="D11" i="25" s="1"/>
  <c r="B77" i="22"/>
  <c r="B74" i="22" s="1"/>
  <c r="B24" i="23" s="1"/>
  <c r="D40" i="25" s="1"/>
  <c r="D41" i="25" s="1"/>
  <c r="K143" i="5"/>
  <c r="L143" i="5" s="1"/>
  <c r="M143" i="5" s="1"/>
  <c r="F31" i="7" l="1"/>
  <c r="F32" i="7" s="1"/>
  <c r="F44" i="6" s="1"/>
  <c r="D34" i="7"/>
  <c r="E25" i="7" s="1"/>
  <c r="E34" i="7" s="1"/>
  <c r="F25" i="7" s="1"/>
  <c r="E33" i="7"/>
  <c r="C5" i="6"/>
  <c r="D5" i="6" s="1"/>
  <c r="E5" i="6" s="1"/>
  <c r="F5" i="6" s="1"/>
  <c r="G5" i="6" s="1"/>
  <c r="H5" i="6" s="1"/>
  <c r="I5" i="6" s="1"/>
  <c r="J5" i="6" s="1"/>
  <c r="K5" i="6" s="1"/>
  <c r="L5" i="6" s="1"/>
  <c r="M5" i="6" s="1"/>
  <c r="A1" i="6"/>
  <c r="E111" i="5"/>
  <c r="F111" i="5" s="1"/>
  <c r="G111" i="5" s="1"/>
  <c r="H111" i="5" s="1"/>
  <c r="E4" i="4"/>
  <c r="D4" i="4"/>
  <c r="E23" i="5"/>
  <c r="F23" i="5"/>
  <c r="G23" i="5"/>
  <c r="H23" i="5"/>
  <c r="I23" i="5"/>
  <c r="J23" i="5"/>
  <c r="K23" i="5"/>
  <c r="L23" i="5"/>
  <c r="M23" i="5"/>
  <c r="D23" i="5"/>
  <c r="G31" i="7" l="1"/>
  <c r="G32" i="7" s="1"/>
  <c r="G44" i="6" s="1"/>
  <c r="D35" i="7"/>
  <c r="E26" i="7" s="1"/>
  <c r="E35" i="7"/>
  <c r="F26" i="7" s="1"/>
  <c r="F34" i="7"/>
  <c r="G25" i="7" s="1"/>
  <c r="F24" i="7"/>
  <c r="I111" i="5"/>
  <c r="H31" i="7" l="1"/>
  <c r="H32" i="7" s="1"/>
  <c r="H44" i="6" s="1"/>
  <c r="G34" i="7"/>
  <c r="H25" i="7" s="1"/>
  <c r="F33" i="7"/>
  <c r="F35" i="7" s="1"/>
  <c r="J111" i="5"/>
  <c r="C5" i="5"/>
  <c r="D5" i="5" s="1"/>
  <c r="E5" i="5" s="1"/>
  <c r="F5" i="5" s="1"/>
  <c r="G5" i="5" s="1"/>
  <c r="H5" i="5" s="1"/>
  <c r="I5" i="5" s="1"/>
  <c r="J5" i="5" s="1"/>
  <c r="K5" i="5" s="1"/>
  <c r="L5" i="5" s="1"/>
  <c r="M5" i="5" s="1"/>
  <c r="A1" i="5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6" i="4"/>
  <c r="A1" i="4"/>
  <c r="M77" i="3"/>
  <c r="L77" i="3"/>
  <c r="K77" i="3"/>
  <c r="J77" i="3"/>
  <c r="I77" i="3"/>
  <c r="H77" i="3"/>
  <c r="G77" i="3"/>
  <c r="F77" i="3"/>
  <c r="E77" i="3"/>
  <c r="D77" i="3"/>
  <c r="C77" i="3"/>
  <c r="M68" i="3"/>
  <c r="L68" i="3"/>
  <c r="K68" i="3"/>
  <c r="J68" i="3"/>
  <c r="I68" i="3"/>
  <c r="H68" i="3"/>
  <c r="G68" i="3"/>
  <c r="F68" i="3"/>
  <c r="E68" i="3"/>
  <c r="D68" i="3"/>
  <c r="C68" i="3"/>
  <c r="M62" i="3"/>
  <c r="L62" i="3"/>
  <c r="K62" i="3"/>
  <c r="J62" i="3"/>
  <c r="I62" i="3"/>
  <c r="H62" i="3"/>
  <c r="G62" i="3"/>
  <c r="F62" i="3"/>
  <c r="E62" i="3"/>
  <c r="D62" i="3"/>
  <c r="C62" i="3"/>
  <c r="M58" i="3"/>
  <c r="L58" i="3"/>
  <c r="K58" i="3"/>
  <c r="J58" i="3"/>
  <c r="I58" i="3"/>
  <c r="H58" i="3"/>
  <c r="G58" i="3"/>
  <c r="F58" i="3"/>
  <c r="E58" i="3"/>
  <c r="D58" i="3"/>
  <c r="C58" i="3"/>
  <c r="M54" i="3"/>
  <c r="L54" i="3"/>
  <c r="K54" i="3"/>
  <c r="J54" i="3"/>
  <c r="I54" i="3"/>
  <c r="H54" i="3"/>
  <c r="G54" i="3"/>
  <c r="F54" i="3"/>
  <c r="E54" i="3"/>
  <c r="D54" i="3"/>
  <c r="C54" i="3"/>
  <c r="M50" i="3"/>
  <c r="L50" i="3"/>
  <c r="K50" i="3"/>
  <c r="J50" i="3"/>
  <c r="I50" i="3"/>
  <c r="H50" i="3"/>
  <c r="G50" i="3"/>
  <c r="F50" i="3"/>
  <c r="E50" i="3"/>
  <c r="D50" i="3"/>
  <c r="C50" i="3"/>
  <c r="M46" i="3"/>
  <c r="L46" i="3"/>
  <c r="K46" i="3"/>
  <c r="J46" i="3"/>
  <c r="I46" i="3"/>
  <c r="H46" i="3"/>
  <c r="G46" i="3"/>
  <c r="F46" i="3"/>
  <c r="E46" i="3"/>
  <c r="D46" i="3"/>
  <c r="C46" i="3"/>
  <c r="M42" i="3"/>
  <c r="L42" i="3"/>
  <c r="K42" i="3"/>
  <c r="J42" i="3"/>
  <c r="I42" i="3"/>
  <c r="H42" i="3"/>
  <c r="G42" i="3"/>
  <c r="F42" i="3"/>
  <c r="E42" i="3"/>
  <c r="D42" i="3"/>
  <c r="C42" i="3"/>
  <c r="M38" i="3"/>
  <c r="L38" i="3"/>
  <c r="K38" i="3"/>
  <c r="J38" i="3"/>
  <c r="I38" i="3"/>
  <c r="H38" i="3"/>
  <c r="G38" i="3"/>
  <c r="F38" i="3"/>
  <c r="E38" i="3"/>
  <c r="D38" i="3"/>
  <c r="C38" i="3"/>
  <c r="M34" i="3"/>
  <c r="L34" i="3"/>
  <c r="K34" i="3"/>
  <c r="J34" i="3"/>
  <c r="I34" i="3"/>
  <c r="H34" i="3"/>
  <c r="G34" i="3"/>
  <c r="F34" i="3"/>
  <c r="E34" i="3"/>
  <c r="D34" i="3"/>
  <c r="C34" i="3"/>
  <c r="M30" i="3"/>
  <c r="L30" i="3"/>
  <c r="K30" i="3"/>
  <c r="J30" i="3"/>
  <c r="I30" i="3"/>
  <c r="H30" i="3"/>
  <c r="G30" i="3"/>
  <c r="F30" i="3"/>
  <c r="E30" i="3"/>
  <c r="D30" i="3"/>
  <c r="C30" i="3"/>
  <c r="M26" i="3"/>
  <c r="L26" i="3"/>
  <c r="K26" i="3"/>
  <c r="J26" i="3"/>
  <c r="I26" i="3"/>
  <c r="H26" i="3"/>
  <c r="G26" i="3"/>
  <c r="F26" i="3"/>
  <c r="E26" i="3"/>
  <c r="D26" i="3"/>
  <c r="C26" i="3"/>
  <c r="M22" i="3"/>
  <c r="L22" i="3"/>
  <c r="K22" i="3"/>
  <c r="J22" i="3"/>
  <c r="I22" i="3"/>
  <c r="H22" i="3"/>
  <c r="G22" i="3"/>
  <c r="F22" i="3"/>
  <c r="E22" i="3"/>
  <c r="D22" i="3"/>
  <c r="C22" i="3"/>
  <c r="M18" i="3"/>
  <c r="L18" i="3"/>
  <c r="K18" i="3"/>
  <c r="J18" i="3"/>
  <c r="I18" i="3"/>
  <c r="H18" i="3"/>
  <c r="G18" i="3"/>
  <c r="F18" i="3"/>
  <c r="E18" i="3"/>
  <c r="D18" i="3"/>
  <c r="C18" i="3"/>
  <c r="M14" i="3"/>
  <c r="L14" i="3"/>
  <c r="K14" i="3"/>
  <c r="J14" i="3"/>
  <c r="I14" i="3"/>
  <c r="H14" i="3"/>
  <c r="G14" i="3"/>
  <c r="F14" i="3"/>
  <c r="E14" i="3"/>
  <c r="D14" i="3"/>
  <c r="C14" i="3"/>
  <c r="M10" i="3"/>
  <c r="L10" i="3"/>
  <c r="K10" i="3"/>
  <c r="J10" i="3"/>
  <c r="I10" i="3"/>
  <c r="H10" i="3"/>
  <c r="G10" i="3"/>
  <c r="F10" i="3"/>
  <c r="E10" i="3"/>
  <c r="D10" i="3"/>
  <c r="C10" i="3"/>
  <c r="C5" i="3"/>
  <c r="D5" i="3" s="1"/>
  <c r="E5" i="3" s="1"/>
  <c r="F5" i="3" s="1"/>
  <c r="G5" i="3" s="1"/>
  <c r="H5" i="3" s="1"/>
  <c r="I5" i="3" s="1"/>
  <c r="J5" i="3" s="1"/>
  <c r="K5" i="3" s="1"/>
  <c r="L5" i="3" s="1"/>
  <c r="M5" i="3" s="1"/>
  <c r="A1" i="3"/>
  <c r="I31" i="7" l="1"/>
  <c r="I32" i="7" s="1"/>
  <c r="I44" i="6" s="1"/>
  <c r="C83" i="6"/>
  <c r="C79" i="6"/>
  <c r="C76" i="6"/>
  <c r="C74" i="6"/>
  <c r="D74" i="6" s="1"/>
  <c r="E74" i="6" s="1"/>
  <c r="F74" i="6" s="1"/>
  <c r="G74" i="6" s="1"/>
  <c r="H74" i="6" s="1"/>
  <c r="I74" i="6" s="1"/>
  <c r="J74" i="6" s="1"/>
  <c r="K74" i="6" s="1"/>
  <c r="L74" i="6" s="1"/>
  <c r="M74" i="6" s="1"/>
  <c r="C68" i="6"/>
  <c r="C63" i="6"/>
  <c r="C78" i="6"/>
  <c r="C73" i="6"/>
  <c r="C80" i="6"/>
  <c r="C77" i="6"/>
  <c r="D77" i="6" s="1"/>
  <c r="C75" i="6"/>
  <c r="C69" i="6"/>
  <c r="C64" i="6"/>
  <c r="C72" i="6"/>
  <c r="D72" i="6" s="1"/>
  <c r="E72" i="6" s="1"/>
  <c r="F72" i="6" s="1"/>
  <c r="G72" i="6" s="1"/>
  <c r="H72" i="6" s="1"/>
  <c r="I72" i="6" s="1"/>
  <c r="J72" i="6" s="1"/>
  <c r="K72" i="6" s="1"/>
  <c r="L72" i="6" s="1"/>
  <c r="M72" i="6" s="1"/>
  <c r="C84" i="6"/>
  <c r="C81" i="6"/>
  <c r="C71" i="6"/>
  <c r="D71" i="6" s="1"/>
  <c r="E71" i="6" s="1"/>
  <c r="F71" i="6" s="1"/>
  <c r="G71" i="6" s="1"/>
  <c r="H71" i="6" s="1"/>
  <c r="I71" i="6" s="1"/>
  <c r="J71" i="6" s="1"/>
  <c r="K71" i="6" s="1"/>
  <c r="L71" i="6" s="1"/>
  <c r="M71" i="6" s="1"/>
  <c r="C70" i="6"/>
  <c r="C65" i="6"/>
  <c r="C82" i="6"/>
  <c r="C67" i="6"/>
  <c r="C34" i="6"/>
  <c r="C32" i="6"/>
  <c r="C17" i="6"/>
  <c r="C13" i="6"/>
  <c r="C16" i="6"/>
  <c r="C18" i="6"/>
  <c r="C31" i="6"/>
  <c r="D31" i="6" s="1"/>
  <c r="E31" i="6" s="1"/>
  <c r="F31" i="6" s="1"/>
  <c r="G31" i="6" s="1"/>
  <c r="H31" i="6" s="1"/>
  <c r="I31" i="6" s="1"/>
  <c r="J31" i="6" s="1"/>
  <c r="K31" i="6" s="1"/>
  <c r="L31" i="6" s="1"/>
  <c r="M31" i="6" s="1"/>
  <c r="C12" i="6"/>
  <c r="C33" i="6"/>
  <c r="D33" i="6" s="1"/>
  <c r="E33" i="6" s="1"/>
  <c r="F33" i="6" s="1"/>
  <c r="G33" i="6" s="1"/>
  <c r="H33" i="6" s="1"/>
  <c r="I33" i="6" s="1"/>
  <c r="J33" i="6" s="1"/>
  <c r="K33" i="6" s="1"/>
  <c r="L33" i="6" s="1"/>
  <c r="M33" i="6" s="1"/>
  <c r="C37" i="6"/>
  <c r="C29" i="6"/>
  <c r="C19" i="6"/>
  <c r="C36" i="6"/>
  <c r="C143" i="5"/>
  <c r="C114" i="5"/>
  <c r="C111" i="5"/>
  <c r="C100" i="5"/>
  <c r="C92" i="5"/>
  <c r="C79" i="5"/>
  <c r="D79" i="5" s="1"/>
  <c r="E79" i="5" s="1"/>
  <c r="F79" i="5" s="1"/>
  <c r="G79" i="5" s="1"/>
  <c r="H79" i="5" s="1"/>
  <c r="I79" i="5" s="1"/>
  <c r="J79" i="5" s="1"/>
  <c r="K79" i="5" s="1"/>
  <c r="L79" i="5" s="1"/>
  <c r="M79" i="5" s="1"/>
  <c r="C65" i="5"/>
  <c r="C61" i="5"/>
  <c r="C56" i="5"/>
  <c r="C53" i="5"/>
  <c r="C42" i="5"/>
  <c r="C45" i="5"/>
  <c r="C43" i="5"/>
  <c r="C35" i="5"/>
  <c r="C123" i="5"/>
  <c r="C109" i="5"/>
  <c r="C86" i="5"/>
  <c r="C57" i="5"/>
  <c r="C44" i="5"/>
  <c r="C149" i="5"/>
  <c r="C135" i="5"/>
  <c r="C122" i="5"/>
  <c r="C113" i="5"/>
  <c r="C108" i="5"/>
  <c r="C102" i="5"/>
  <c r="D102" i="5" s="1"/>
  <c r="E102" i="5" s="1"/>
  <c r="F102" i="5" s="1"/>
  <c r="G102" i="5" s="1"/>
  <c r="H102" i="5" s="1"/>
  <c r="I102" i="5" s="1"/>
  <c r="J102" i="5" s="1"/>
  <c r="K102" i="5" s="1"/>
  <c r="L102" i="5" s="1"/>
  <c r="M102" i="5" s="1"/>
  <c r="C91" i="5"/>
  <c r="C88" i="5"/>
  <c r="D88" i="5" s="1"/>
  <c r="E88" i="5" s="1"/>
  <c r="F88" i="5" s="1"/>
  <c r="G88" i="5" s="1"/>
  <c r="H88" i="5" s="1"/>
  <c r="I88" i="5" s="1"/>
  <c r="J88" i="5" s="1"/>
  <c r="K88" i="5" s="1"/>
  <c r="L88" i="5" s="1"/>
  <c r="M88" i="5" s="1"/>
  <c r="C78" i="5"/>
  <c r="C64" i="5"/>
  <c r="C60" i="5"/>
  <c r="C51" i="5"/>
  <c r="C52" i="5"/>
  <c r="C41" i="5"/>
  <c r="C89" i="5"/>
  <c r="C62" i="5"/>
  <c r="C58" i="5"/>
  <c r="C148" i="5"/>
  <c r="C124" i="5"/>
  <c r="C110" i="5"/>
  <c r="C90" i="5"/>
  <c r="C87" i="5"/>
  <c r="D87" i="5" s="1"/>
  <c r="E87" i="5" s="1"/>
  <c r="F87" i="5" s="1"/>
  <c r="G87" i="5" s="1"/>
  <c r="H87" i="5" s="1"/>
  <c r="I87" i="5" s="1"/>
  <c r="J87" i="5" s="1"/>
  <c r="K87" i="5" s="1"/>
  <c r="L87" i="5" s="1"/>
  <c r="M87" i="5" s="1"/>
  <c r="C77" i="5"/>
  <c r="B95" i="19" s="1"/>
  <c r="C67" i="5"/>
  <c r="C63" i="5"/>
  <c r="C59" i="5"/>
  <c r="C55" i="5"/>
  <c r="C50" i="5"/>
  <c r="C40" i="5"/>
  <c r="C112" i="5"/>
  <c r="C101" i="5"/>
  <c r="C66" i="5"/>
  <c r="C54" i="5"/>
  <c r="C23" i="5"/>
  <c r="C18" i="5"/>
  <c r="C13" i="5"/>
  <c r="C12" i="5"/>
  <c r="C24" i="5"/>
  <c r="D24" i="5" s="1"/>
  <c r="C25" i="5"/>
  <c r="E85" i="6"/>
  <c r="I85" i="6"/>
  <c r="M85" i="6"/>
  <c r="H85" i="6"/>
  <c r="F85" i="6"/>
  <c r="J85" i="6"/>
  <c r="C85" i="6"/>
  <c r="L85" i="6"/>
  <c r="G85" i="6"/>
  <c r="K85" i="6"/>
  <c r="D85" i="6"/>
  <c r="F38" i="6"/>
  <c r="J38" i="6"/>
  <c r="D38" i="6"/>
  <c r="E20" i="6"/>
  <c r="I20" i="6"/>
  <c r="M20" i="6"/>
  <c r="C20" i="6"/>
  <c r="D20" i="6"/>
  <c r="G38" i="6"/>
  <c r="K38" i="6"/>
  <c r="C38" i="6"/>
  <c r="F20" i="6"/>
  <c r="J20" i="6"/>
  <c r="E38" i="6"/>
  <c r="M38" i="6"/>
  <c r="L20" i="6"/>
  <c r="H38" i="6"/>
  <c r="L38" i="6"/>
  <c r="G20" i="6"/>
  <c r="K20" i="6"/>
  <c r="I38" i="6"/>
  <c r="H20" i="6"/>
  <c r="F150" i="5"/>
  <c r="J150" i="5"/>
  <c r="C150" i="5"/>
  <c r="G144" i="5"/>
  <c r="G145" i="5" s="1"/>
  <c r="K144" i="5"/>
  <c r="K145" i="5" s="1"/>
  <c r="F136" i="5"/>
  <c r="J136" i="5"/>
  <c r="C136" i="5"/>
  <c r="E125" i="5"/>
  <c r="I125" i="5"/>
  <c r="M125" i="5"/>
  <c r="G115" i="5"/>
  <c r="K115" i="5"/>
  <c r="F103" i="5"/>
  <c r="J103" i="5"/>
  <c r="C103" i="5"/>
  <c r="G93" i="5"/>
  <c r="K93" i="5"/>
  <c r="G80" i="5"/>
  <c r="K80" i="5"/>
  <c r="E68" i="5"/>
  <c r="I68" i="5"/>
  <c r="M68" i="5"/>
  <c r="G46" i="5"/>
  <c r="K46" i="5"/>
  <c r="G36" i="5"/>
  <c r="K36" i="5"/>
  <c r="D36" i="5"/>
  <c r="H36" i="5"/>
  <c r="I150" i="5"/>
  <c r="J144" i="5"/>
  <c r="J145" i="5" s="1"/>
  <c r="I136" i="5"/>
  <c r="D125" i="5"/>
  <c r="C115" i="5"/>
  <c r="M103" i="5"/>
  <c r="J93" i="5"/>
  <c r="C80" i="5"/>
  <c r="L68" i="5"/>
  <c r="F46" i="5"/>
  <c r="C36" i="5"/>
  <c r="G150" i="5"/>
  <c r="K150" i="5"/>
  <c r="D144" i="5"/>
  <c r="D145" i="5" s="1"/>
  <c r="H144" i="5"/>
  <c r="H145" i="5" s="1"/>
  <c r="L144" i="5"/>
  <c r="L145" i="5" s="1"/>
  <c r="G136" i="5"/>
  <c r="K136" i="5"/>
  <c r="F125" i="5"/>
  <c r="J125" i="5"/>
  <c r="C125" i="5"/>
  <c r="D115" i="5"/>
  <c r="H115" i="5"/>
  <c r="L115" i="5"/>
  <c r="G103" i="5"/>
  <c r="K103" i="5"/>
  <c r="D93" i="5"/>
  <c r="H93" i="5"/>
  <c r="L93" i="5"/>
  <c r="D80" i="5"/>
  <c r="H80" i="5"/>
  <c r="L80" i="5"/>
  <c r="F68" i="5"/>
  <c r="J68" i="5"/>
  <c r="C68" i="5"/>
  <c r="D46" i="5"/>
  <c r="H46" i="5"/>
  <c r="L46" i="5"/>
  <c r="L36" i="5"/>
  <c r="M150" i="5"/>
  <c r="C144" i="5"/>
  <c r="M136" i="5"/>
  <c r="L125" i="5"/>
  <c r="J115" i="5"/>
  <c r="E103" i="5"/>
  <c r="F93" i="5"/>
  <c r="J80" i="5"/>
  <c r="H68" i="5"/>
  <c r="C46" i="5"/>
  <c r="J36" i="5"/>
  <c r="D150" i="5"/>
  <c r="H150" i="5"/>
  <c r="L150" i="5"/>
  <c r="E144" i="5"/>
  <c r="E145" i="5" s="1"/>
  <c r="I144" i="5"/>
  <c r="I145" i="5" s="1"/>
  <c r="M144" i="5"/>
  <c r="M145" i="5" s="1"/>
  <c r="D136" i="5"/>
  <c r="H136" i="5"/>
  <c r="L136" i="5"/>
  <c r="G125" i="5"/>
  <c r="K125" i="5"/>
  <c r="E115" i="5"/>
  <c r="I115" i="5"/>
  <c r="M115" i="5"/>
  <c r="D103" i="5"/>
  <c r="H103" i="5"/>
  <c r="L103" i="5"/>
  <c r="E93" i="5"/>
  <c r="I93" i="5"/>
  <c r="M93" i="5"/>
  <c r="E80" i="5"/>
  <c r="I80" i="5"/>
  <c r="M80" i="5"/>
  <c r="G68" i="5"/>
  <c r="K68" i="5"/>
  <c r="E46" i="5"/>
  <c r="I46" i="5"/>
  <c r="M46" i="5"/>
  <c r="E36" i="5"/>
  <c r="I36" i="5"/>
  <c r="M36" i="5"/>
  <c r="E150" i="5"/>
  <c r="F144" i="5"/>
  <c r="F145" i="5" s="1"/>
  <c r="E136" i="5"/>
  <c r="H125" i="5"/>
  <c r="F115" i="5"/>
  <c r="I103" i="5"/>
  <c r="C93" i="5"/>
  <c r="F80" i="5"/>
  <c r="D68" i="5"/>
  <c r="J46" i="5"/>
  <c r="F36" i="5"/>
  <c r="E26" i="5"/>
  <c r="I26" i="5"/>
  <c r="M26" i="5"/>
  <c r="G19" i="5"/>
  <c r="K19" i="5"/>
  <c r="H14" i="5"/>
  <c r="L14" i="5"/>
  <c r="C19" i="5"/>
  <c r="C14" i="5"/>
  <c r="F26" i="5"/>
  <c r="J26" i="5"/>
  <c r="C26" i="5"/>
  <c r="D19" i="5"/>
  <c r="H19" i="5"/>
  <c r="L19" i="5"/>
  <c r="E14" i="5"/>
  <c r="I14" i="5"/>
  <c r="M14" i="5"/>
  <c r="H26" i="5"/>
  <c r="J19" i="5"/>
  <c r="K14" i="5"/>
  <c r="G26" i="5"/>
  <c r="K26" i="5"/>
  <c r="E19" i="5"/>
  <c r="I19" i="5"/>
  <c r="M19" i="5"/>
  <c r="F14" i="5"/>
  <c r="J14" i="5"/>
  <c r="D14" i="5"/>
  <c r="D26" i="5"/>
  <c r="L26" i="5"/>
  <c r="F19" i="5"/>
  <c r="G14" i="5"/>
  <c r="H34" i="7"/>
  <c r="I25" i="7" s="1"/>
  <c r="G24" i="7"/>
  <c r="G26" i="7"/>
  <c r="J31" i="7"/>
  <c r="J32" i="7" s="1"/>
  <c r="J44" i="6" s="1"/>
  <c r="K111" i="5"/>
  <c r="B59" i="22" l="1"/>
  <c r="C39" i="6"/>
  <c r="B64" i="11" s="1"/>
  <c r="B68" i="11" s="1"/>
  <c r="B18" i="15" s="1"/>
  <c r="C20" i="5"/>
  <c r="C81" i="5"/>
  <c r="B25" i="11" s="1"/>
  <c r="B31" i="11" s="1"/>
  <c r="B12" i="15" s="1"/>
  <c r="C126" i="5"/>
  <c r="C37" i="5"/>
  <c r="C21" i="6"/>
  <c r="B55" i="11" s="1"/>
  <c r="B61" i="11" s="1"/>
  <c r="B17" i="15" s="1"/>
  <c r="C69" i="5"/>
  <c r="E24" i="5"/>
  <c r="C27" i="5"/>
  <c r="C151" i="5"/>
  <c r="C137" i="5"/>
  <c r="C94" i="5"/>
  <c r="B47" i="11" s="1"/>
  <c r="B51" i="11" s="1"/>
  <c r="B15" i="15" s="1"/>
  <c r="C145" i="5"/>
  <c r="C86" i="6"/>
  <c r="B71" i="11" s="1"/>
  <c r="B75" i="11" s="1"/>
  <c r="B20" i="15" s="1"/>
  <c r="C15" i="5"/>
  <c r="C29" i="5" s="1"/>
  <c r="B94" i="19" s="1"/>
  <c r="B93" i="19" s="1"/>
  <c r="B84" i="19" s="1"/>
  <c r="B32" i="20" s="1"/>
  <c r="D22" i="25" s="1"/>
  <c r="D23" i="25" s="1"/>
  <c r="C47" i="5"/>
  <c r="D108" i="5"/>
  <c r="C116" i="5"/>
  <c r="C104" i="5"/>
  <c r="I34" i="7"/>
  <c r="J25" i="7" s="1"/>
  <c r="K31" i="7"/>
  <c r="K32" i="7" s="1"/>
  <c r="K44" i="6" s="1"/>
  <c r="G33" i="7"/>
  <c r="G35" i="7" s="1"/>
  <c r="L111" i="5"/>
  <c r="B37" i="19" l="1"/>
  <c r="B113" i="19"/>
  <c r="B112" i="19" s="1"/>
  <c r="B17" i="19"/>
  <c r="B25" i="19"/>
  <c r="B36" i="19"/>
  <c r="B18" i="19"/>
  <c r="B26" i="19"/>
  <c r="B21" i="16"/>
  <c r="B17" i="16"/>
  <c r="B11" i="16"/>
  <c r="B12" i="16"/>
  <c r="B9" i="16"/>
  <c r="B19" i="16"/>
  <c r="B25" i="13"/>
  <c r="C128" i="5"/>
  <c r="B14" i="13" s="1"/>
  <c r="C153" i="5"/>
  <c r="B10" i="13"/>
  <c r="B9" i="11"/>
  <c r="B13" i="11" s="1"/>
  <c r="B10" i="15" s="1"/>
  <c r="E108" i="5"/>
  <c r="B23" i="13"/>
  <c r="B13" i="13"/>
  <c r="F24" i="5"/>
  <c r="B12" i="13"/>
  <c r="B28" i="13"/>
  <c r="C71" i="5"/>
  <c r="J34" i="7"/>
  <c r="K25" i="7" s="1"/>
  <c r="H24" i="7"/>
  <c r="H26" i="7"/>
  <c r="L31" i="7"/>
  <c r="L32" i="7" s="1"/>
  <c r="L44" i="6" s="1"/>
  <c r="M111" i="5"/>
  <c r="B34" i="11" l="1"/>
  <c r="B38" i="11" s="1"/>
  <c r="B13" i="15" s="1"/>
  <c r="B22" i="16"/>
  <c r="B10" i="16"/>
  <c r="B26" i="16"/>
  <c r="B13" i="16"/>
  <c r="B30" i="13"/>
  <c r="B19" i="19" s="1"/>
  <c r="B15" i="13"/>
  <c r="B68" i="19" s="1"/>
  <c r="F108" i="5"/>
  <c r="B11" i="13"/>
  <c r="B16" i="11"/>
  <c r="B22" i="11" s="1"/>
  <c r="B11" i="15" s="1"/>
  <c r="B21" i="15" s="1"/>
  <c r="G24" i="5"/>
  <c r="K34" i="7"/>
  <c r="L25" i="7" s="1"/>
  <c r="M31" i="7"/>
  <c r="M32" i="7" s="1"/>
  <c r="M44" i="6" s="1"/>
  <c r="H33" i="7"/>
  <c r="H35" i="7" s="1"/>
  <c r="B14" i="16" l="1"/>
  <c r="B24" i="16" s="1"/>
  <c r="B28" i="16" s="1"/>
  <c r="B32" i="16" s="1"/>
  <c r="B77" i="12"/>
  <c r="B19" i="13"/>
  <c r="G108" i="5"/>
  <c r="H24" i="5"/>
  <c r="L34" i="7"/>
  <c r="M25" i="7" s="1"/>
  <c r="M34" i="7" s="1"/>
  <c r="I24" i="7"/>
  <c r="I26" i="7"/>
  <c r="B32" i="13" l="1"/>
  <c r="B37" i="13" s="1"/>
  <c r="B67" i="19" s="1"/>
  <c r="B66" i="19" s="1"/>
  <c r="B63" i="19" s="1"/>
  <c r="B43" i="21"/>
  <c r="B39" i="21" s="1"/>
  <c r="D42" i="25" s="1"/>
  <c r="D43" i="25" s="1"/>
  <c r="B15" i="19"/>
  <c r="B14" i="19" s="1"/>
  <c r="B41" i="19"/>
  <c r="B34" i="19"/>
  <c r="B33" i="19" s="1"/>
  <c r="B23" i="19"/>
  <c r="B22" i="19" s="1"/>
  <c r="I24" i="5"/>
  <c r="H108" i="5"/>
  <c r="I33" i="7"/>
  <c r="I35" i="7" s="1"/>
  <c r="B30" i="19" l="1"/>
  <c r="B17" i="20" s="1"/>
  <c r="D14" i="25" s="1"/>
  <c r="D15" i="25" s="1"/>
  <c r="B10" i="19"/>
  <c r="B11" i="20" s="1"/>
  <c r="D12" i="25" s="1"/>
  <c r="D13" i="25" s="1"/>
  <c r="B42" i="13"/>
  <c r="B65" i="12"/>
  <c r="B78" i="12" s="1"/>
  <c r="B39" i="13"/>
  <c r="J24" i="5"/>
  <c r="I108" i="5"/>
  <c r="J24" i="7"/>
  <c r="J26" i="7"/>
  <c r="J108" i="5" l="1"/>
  <c r="K24" i="5"/>
  <c r="J33" i="7"/>
  <c r="J35" i="7" s="1"/>
  <c r="K108" i="5" l="1"/>
  <c r="L24" i="5"/>
  <c r="K24" i="7"/>
  <c r="K26" i="7"/>
  <c r="M24" i="5" l="1"/>
  <c r="L108" i="5"/>
  <c r="K33" i="7"/>
  <c r="K35" i="7" s="1"/>
  <c r="D54" i="1"/>
  <c r="E54" i="1" s="1"/>
  <c r="F54" i="1" s="1"/>
  <c r="G54" i="1" s="1"/>
  <c r="H54" i="1" s="1"/>
  <c r="I54" i="1" s="1"/>
  <c r="J54" i="1" s="1"/>
  <c r="K54" i="1" s="1"/>
  <c r="L54" i="1" s="1"/>
  <c r="L32" i="1"/>
  <c r="K32" i="1"/>
  <c r="J32" i="1"/>
  <c r="I32" i="1"/>
  <c r="H32" i="1"/>
  <c r="G32" i="1"/>
  <c r="F32" i="1"/>
  <c r="E32" i="1"/>
  <c r="D32" i="1"/>
  <c r="C32" i="1"/>
  <c r="L28" i="1"/>
  <c r="K28" i="1"/>
  <c r="J28" i="1"/>
  <c r="I28" i="1"/>
  <c r="H28" i="1"/>
  <c r="G28" i="1"/>
  <c r="F28" i="1"/>
  <c r="E28" i="1"/>
  <c r="D28" i="1"/>
  <c r="L26" i="1"/>
  <c r="K26" i="1"/>
  <c r="J26" i="1"/>
  <c r="I26" i="1"/>
  <c r="H26" i="1"/>
  <c r="G26" i="1"/>
  <c r="F26" i="1"/>
  <c r="E26" i="1"/>
  <c r="D26" i="1"/>
  <c r="C26" i="1"/>
  <c r="D35" i="5"/>
  <c r="D112" i="5" l="1"/>
  <c r="E112" i="5" s="1"/>
  <c r="F112" i="5" s="1"/>
  <c r="G112" i="5" s="1"/>
  <c r="H112" i="5" s="1"/>
  <c r="I112" i="5" s="1"/>
  <c r="J112" i="5" s="1"/>
  <c r="K112" i="5" s="1"/>
  <c r="L112" i="5" s="1"/>
  <c r="M112" i="5" s="1"/>
  <c r="D109" i="5"/>
  <c r="D101" i="5"/>
  <c r="E101" i="5" s="1"/>
  <c r="F101" i="5" s="1"/>
  <c r="G101" i="5" s="1"/>
  <c r="H101" i="5" s="1"/>
  <c r="I101" i="5" s="1"/>
  <c r="J101" i="5" s="1"/>
  <c r="K101" i="5" s="1"/>
  <c r="L101" i="5" s="1"/>
  <c r="M101" i="5" s="1"/>
  <c r="D123" i="5"/>
  <c r="E123" i="5" s="1"/>
  <c r="F123" i="5" s="1"/>
  <c r="G123" i="5" s="1"/>
  <c r="H123" i="5" s="1"/>
  <c r="I123" i="5" s="1"/>
  <c r="J123" i="5" s="1"/>
  <c r="K123" i="5" s="1"/>
  <c r="L123" i="5" s="1"/>
  <c r="M123" i="5" s="1"/>
  <c r="D124" i="5"/>
  <c r="E124" i="5" s="1"/>
  <c r="F124" i="5" s="1"/>
  <c r="G124" i="5" s="1"/>
  <c r="H124" i="5" s="1"/>
  <c r="I124" i="5" s="1"/>
  <c r="J124" i="5" s="1"/>
  <c r="K124" i="5" s="1"/>
  <c r="L124" i="5" s="1"/>
  <c r="M124" i="5" s="1"/>
  <c r="D135" i="5"/>
  <c r="D110" i="5"/>
  <c r="E110" i="5" s="1"/>
  <c r="F110" i="5" s="1"/>
  <c r="G110" i="5" s="1"/>
  <c r="H110" i="5" s="1"/>
  <c r="I110" i="5" s="1"/>
  <c r="J110" i="5" s="1"/>
  <c r="K110" i="5" s="1"/>
  <c r="L110" i="5" s="1"/>
  <c r="M110" i="5" s="1"/>
  <c r="D114" i="5"/>
  <c r="E114" i="5" s="1"/>
  <c r="F114" i="5" s="1"/>
  <c r="G114" i="5" s="1"/>
  <c r="H114" i="5" s="1"/>
  <c r="I114" i="5" s="1"/>
  <c r="J114" i="5" s="1"/>
  <c r="K114" i="5" s="1"/>
  <c r="L114" i="5" s="1"/>
  <c r="M114" i="5" s="1"/>
  <c r="D122" i="5"/>
  <c r="D148" i="5"/>
  <c r="D149" i="5"/>
  <c r="E149" i="5" s="1"/>
  <c r="F149" i="5" s="1"/>
  <c r="G149" i="5" s="1"/>
  <c r="H149" i="5" s="1"/>
  <c r="I149" i="5" s="1"/>
  <c r="J149" i="5" s="1"/>
  <c r="K149" i="5" s="1"/>
  <c r="L149" i="5" s="1"/>
  <c r="M149" i="5" s="1"/>
  <c r="D113" i="5"/>
  <c r="E113" i="5" s="1"/>
  <c r="F113" i="5" s="1"/>
  <c r="G113" i="5" s="1"/>
  <c r="H113" i="5" s="1"/>
  <c r="I113" i="5" s="1"/>
  <c r="J113" i="5" s="1"/>
  <c r="K113" i="5" s="1"/>
  <c r="L113" i="5" s="1"/>
  <c r="M113" i="5" s="1"/>
  <c r="D100" i="5"/>
  <c r="C75" i="10"/>
  <c r="D44" i="5"/>
  <c r="E44" i="5" s="1"/>
  <c r="F44" i="5" s="1"/>
  <c r="G44" i="5" s="1"/>
  <c r="H44" i="5" s="1"/>
  <c r="I44" i="5" s="1"/>
  <c r="J44" i="5" s="1"/>
  <c r="K44" i="5" s="1"/>
  <c r="L44" i="5" s="1"/>
  <c r="M44" i="5" s="1"/>
  <c r="D41" i="5"/>
  <c r="E41" i="5" s="1"/>
  <c r="F41" i="5" s="1"/>
  <c r="G41" i="5" s="1"/>
  <c r="H41" i="5" s="1"/>
  <c r="I41" i="5" s="1"/>
  <c r="J41" i="5" s="1"/>
  <c r="K41" i="5" s="1"/>
  <c r="L41" i="5" s="1"/>
  <c r="M41" i="5" s="1"/>
  <c r="D45" i="5"/>
  <c r="E45" i="5" s="1"/>
  <c r="F45" i="5" s="1"/>
  <c r="G45" i="5" s="1"/>
  <c r="H45" i="5" s="1"/>
  <c r="I45" i="5" s="1"/>
  <c r="J45" i="5" s="1"/>
  <c r="K45" i="5" s="1"/>
  <c r="L45" i="5" s="1"/>
  <c r="M45" i="5" s="1"/>
  <c r="D43" i="5"/>
  <c r="E43" i="5" s="1"/>
  <c r="F43" i="5" s="1"/>
  <c r="G43" i="5" s="1"/>
  <c r="H43" i="5" s="1"/>
  <c r="I43" i="5" s="1"/>
  <c r="J43" i="5" s="1"/>
  <c r="K43" i="5" s="1"/>
  <c r="L43" i="5" s="1"/>
  <c r="M43" i="5" s="1"/>
  <c r="D42" i="5"/>
  <c r="E42" i="5" s="1"/>
  <c r="F42" i="5" s="1"/>
  <c r="G42" i="5" s="1"/>
  <c r="H42" i="5" s="1"/>
  <c r="I42" i="5" s="1"/>
  <c r="J42" i="5" s="1"/>
  <c r="K42" i="5" s="1"/>
  <c r="L42" i="5" s="1"/>
  <c r="M42" i="5" s="1"/>
  <c r="D25" i="5"/>
  <c r="D40" i="5"/>
  <c r="C202" i="7"/>
  <c r="C203" i="7" s="1"/>
  <c r="C205" i="7" s="1"/>
  <c r="E35" i="5"/>
  <c r="D37" i="5"/>
  <c r="C16" i="12"/>
  <c r="C110" i="10"/>
  <c r="C76" i="10"/>
  <c r="D76" i="10" s="1"/>
  <c r="E76" i="10" s="1"/>
  <c r="F76" i="10" s="1"/>
  <c r="G76" i="10" s="1"/>
  <c r="H76" i="10" s="1"/>
  <c r="I76" i="10" s="1"/>
  <c r="J76" i="10" s="1"/>
  <c r="K76" i="10" s="1"/>
  <c r="L76" i="10" s="1"/>
  <c r="C69" i="10"/>
  <c r="C77" i="10"/>
  <c r="D77" i="10" s="1"/>
  <c r="E77" i="10" s="1"/>
  <c r="F77" i="10" s="1"/>
  <c r="G77" i="10" s="1"/>
  <c r="H77" i="10" s="1"/>
  <c r="I77" i="10" s="1"/>
  <c r="J77" i="10" s="1"/>
  <c r="K77" i="10" s="1"/>
  <c r="L77" i="10" s="1"/>
  <c r="C81" i="10"/>
  <c r="C74" i="10"/>
  <c r="C10" i="10"/>
  <c r="D70" i="6"/>
  <c r="E70" i="6" s="1"/>
  <c r="F70" i="6" s="1"/>
  <c r="G70" i="6" s="1"/>
  <c r="H70" i="6" s="1"/>
  <c r="I70" i="6" s="1"/>
  <c r="J70" i="6" s="1"/>
  <c r="K70" i="6" s="1"/>
  <c r="L70" i="6" s="1"/>
  <c r="M108" i="5"/>
  <c r="L24" i="7"/>
  <c r="L26" i="7"/>
  <c r="D63" i="5"/>
  <c r="E63" i="5" s="1"/>
  <c r="F63" i="5" s="1"/>
  <c r="G63" i="5" s="1"/>
  <c r="H63" i="5" s="1"/>
  <c r="I63" i="5" s="1"/>
  <c r="J63" i="5" s="1"/>
  <c r="K63" i="5" s="1"/>
  <c r="L63" i="5" s="1"/>
  <c r="M63" i="5" s="1"/>
  <c r="D86" i="5"/>
  <c r="D90" i="5"/>
  <c r="E90" i="5" s="1"/>
  <c r="F90" i="5" s="1"/>
  <c r="G90" i="5" s="1"/>
  <c r="H90" i="5" s="1"/>
  <c r="I90" i="5" s="1"/>
  <c r="J90" i="5" s="1"/>
  <c r="K90" i="5" s="1"/>
  <c r="L90" i="5" s="1"/>
  <c r="M90" i="5" s="1"/>
  <c r="D92" i="5"/>
  <c r="E92" i="5" s="1"/>
  <c r="F92" i="5" s="1"/>
  <c r="G92" i="5" s="1"/>
  <c r="H92" i="5" s="1"/>
  <c r="I92" i="5" s="1"/>
  <c r="J92" i="5" s="1"/>
  <c r="K92" i="5" s="1"/>
  <c r="L92" i="5" s="1"/>
  <c r="M92" i="5" s="1"/>
  <c r="D64" i="5"/>
  <c r="E64" i="5" s="1"/>
  <c r="F64" i="5" s="1"/>
  <c r="G64" i="5" s="1"/>
  <c r="H64" i="5" s="1"/>
  <c r="I64" i="5" s="1"/>
  <c r="J64" i="5" s="1"/>
  <c r="K64" i="5" s="1"/>
  <c r="L64" i="5" s="1"/>
  <c r="M64" i="5" s="1"/>
  <c r="D54" i="5"/>
  <c r="E54" i="5" s="1"/>
  <c r="F54" i="5" s="1"/>
  <c r="G54" i="5" s="1"/>
  <c r="H54" i="5" s="1"/>
  <c r="I54" i="5" s="1"/>
  <c r="J54" i="5" s="1"/>
  <c r="K54" i="5" s="1"/>
  <c r="L54" i="5" s="1"/>
  <c r="M54" i="5" s="1"/>
  <c r="D58" i="5"/>
  <c r="E58" i="5" s="1"/>
  <c r="F58" i="5" s="1"/>
  <c r="G58" i="5" s="1"/>
  <c r="H58" i="5" s="1"/>
  <c r="I58" i="5" s="1"/>
  <c r="J58" i="5" s="1"/>
  <c r="K58" i="5" s="1"/>
  <c r="L58" i="5" s="1"/>
  <c r="M58" i="5" s="1"/>
  <c r="D56" i="5"/>
  <c r="E56" i="5" s="1"/>
  <c r="F56" i="5" s="1"/>
  <c r="G56" i="5" s="1"/>
  <c r="H56" i="5" s="1"/>
  <c r="I56" i="5" s="1"/>
  <c r="J56" i="5" s="1"/>
  <c r="K56" i="5" s="1"/>
  <c r="L56" i="5" s="1"/>
  <c r="M56" i="5" s="1"/>
  <c r="D59" i="5"/>
  <c r="E59" i="5" s="1"/>
  <c r="F59" i="5" s="1"/>
  <c r="G59" i="5" s="1"/>
  <c r="H59" i="5" s="1"/>
  <c r="I59" i="5" s="1"/>
  <c r="J59" i="5" s="1"/>
  <c r="K59" i="5" s="1"/>
  <c r="L59" i="5" s="1"/>
  <c r="M59" i="5" s="1"/>
  <c r="D51" i="5"/>
  <c r="E51" i="5" s="1"/>
  <c r="F51" i="5" s="1"/>
  <c r="G51" i="5" s="1"/>
  <c r="H51" i="5" s="1"/>
  <c r="I51" i="5" s="1"/>
  <c r="J51" i="5" s="1"/>
  <c r="K51" i="5" s="1"/>
  <c r="L51" i="5" s="1"/>
  <c r="M51" i="5" s="1"/>
  <c r="D50" i="5"/>
  <c r="D67" i="5"/>
  <c r="E67" i="5" s="1"/>
  <c r="F67" i="5" s="1"/>
  <c r="G67" i="5" s="1"/>
  <c r="H67" i="5" s="1"/>
  <c r="I67" i="5" s="1"/>
  <c r="J67" i="5" s="1"/>
  <c r="K67" i="5" s="1"/>
  <c r="L67" i="5" s="1"/>
  <c r="M67" i="5" s="1"/>
  <c r="D89" i="5"/>
  <c r="E89" i="5" s="1"/>
  <c r="F89" i="5" s="1"/>
  <c r="G89" i="5" s="1"/>
  <c r="H89" i="5" s="1"/>
  <c r="I89" i="5" s="1"/>
  <c r="J89" i="5" s="1"/>
  <c r="K89" i="5" s="1"/>
  <c r="L89" i="5" s="1"/>
  <c r="M89" i="5" s="1"/>
  <c r="D65" i="5"/>
  <c r="E65" i="5" s="1"/>
  <c r="F65" i="5" s="1"/>
  <c r="G65" i="5" s="1"/>
  <c r="H65" i="5" s="1"/>
  <c r="I65" i="5" s="1"/>
  <c r="J65" i="5" s="1"/>
  <c r="K65" i="5" s="1"/>
  <c r="L65" i="5" s="1"/>
  <c r="M65" i="5" s="1"/>
  <c r="D60" i="5"/>
  <c r="E60" i="5" s="1"/>
  <c r="F60" i="5" s="1"/>
  <c r="G60" i="5" s="1"/>
  <c r="H60" i="5" s="1"/>
  <c r="I60" i="5" s="1"/>
  <c r="J60" i="5" s="1"/>
  <c r="K60" i="5" s="1"/>
  <c r="L60" i="5" s="1"/>
  <c r="M60" i="5" s="1"/>
  <c r="D57" i="5"/>
  <c r="E57" i="5" s="1"/>
  <c r="F57" i="5" s="1"/>
  <c r="G57" i="5" s="1"/>
  <c r="H57" i="5" s="1"/>
  <c r="I57" i="5" s="1"/>
  <c r="J57" i="5" s="1"/>
  <c r="K57" i="5" s="1"/>
  <c r="L57" i="5" s="1"/>
  <c r="M57" i="5" s="1"/>
  <c r="D52" i="5"/>
  <c r="E52" i="5" s="1"/>
  <c r="F52" i="5" s="1"/>
  <c r="G52" i="5" s="1"/>
  <c r="H52" i="5" s="1"/>
  <c r="I52" i="5" s="1"/>
  <c r="J52" i="5" s="1"/>
  <c r="K52" i="5" s="1"/>
  <c r="L52" i="5" s="1"/>
  <c r="M52" i="5" s="1"/>
  <c r="D61" i="5"/>
  <c r="E61" i="5" s="1"/>
  <c r="F61" i="5" s="1"/>
  <c r="G61" i="5" s="1"/>
  <c r="H61" i="5" s="1"/>
  <c r="I61" i="5" s="1"/>
  <c r="J61" i="5" s="1"/>
  <c r="K61" i="5" s="1"/>
  <c r="L61" i="5" s="1"/>
  <c r="M61" i="5" s="1"/>
  <c r="D66" i="5"/>
  <c r="E66" i="5" s="1"/>
  <c r="F66" i="5" s="1"/>
  <c r="G66" i="5" s="1"/>
  <c r="H66" i="5" s="1"/>
  <c r="I66" i="5" s="1"/>
  <c r="J66" i="5" s="1"/>
  <c r="K66" i="5" s="1"/>
  <c r="L66" i="5" s="1"/>
  <c r="M66" i="5" s="1"/>
  <c r="D62" i="5"/>
  <c r="E62" i="5" s="1"/>
  <c r="F62" i="5" s="1"/>
  <c r="G62" i="5" s="1"/>
  <c r="H62" i="5" s="1"/>
  <c r="I62" i="5" s="1"/>
  <c r="J62" i="5" s="1"/>
  <c r="K62" i="5" s="1"/>
  <c r="L62" i="5" s="1"/>
  <c r="M62" i="5" s="1"/>
  <c r="D55" i="5"/>
  <c r="E55" i="5" s="1"/>
  <c r="F55" i="5" s="1"/>
  <c r="G55" i="5" s="1"/>
  <c r="H55" i="5" s="1"/>
  <c r="I55" i="5" s="1"/>
  <c r="J55" i="5" s="1"/>
  <c r="K55" i="5" s="1"/>
  <c r="L55" i="5" s="1"/>
  <c r="M55" i="5" s="1"/>
  <c r="D53" i="5"/>
  <c r="E53" i="5" s="1"/>
  <c r="F53" i="5" s="1"/>
  <c r="G53" i="5" s="1"/>
  <c r="H53" i="5" s="1"/>
  <c r="I53" i="5" s="1"/>
  <c r="J53" i="5" s="1"/>
  <c r="K53" i="5" s="1"/>
  <c r="L53" i="5" s="1"/>
  <c r="M53" i="5" s="1"/>
  <c r="D91" i="5"/>
  <c r="E91" i="5" s="1"/>
  <c r="F91" i="5" s="1"/>
  <c r="G91" i="5" s="1"/>
  <c r="H91" i="5" s="1"/>
  <c r="I91" i="5" s="1"/>
  <c r="J91" i="5" s="1"/>
  <c r="K91" i="5" s="1"/>
  <c r="L91" i="5" s="1"/>
  <c r="M91" i="5" s="1"/>
  <c r="C15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B11" i="1"/>
  <c r="C12" i="1"/>
  <c r="D12" i="1" s="1"/>
  <c r="E12" i="1" s="1"/>
  <c r="D36" i="22" l="1"/>
  <c r="D63" i="22"/>
  <c r="E25" i="5"/>
  <c r="D27" i="5"/>
  <c r="C36" i="11"/>
  <c r="D75" i="10"/>
  <c r="D151" i="5"/>
  <c r="E148" i="5"/>
  <c r="D137" i="5"/>
  <c r="E135" i="5"/>
  <c r="E109" i="5"/>
  <c r="D116" i="5"/>
  <c r="E40" i="5"/>
  <c r="D47" i="5"/>
  <c r="E100" i="5"/>
  <c r="D104" i="5"/>
  <c r="E122" i="5"/>
  <c r="D126" i="5"/>
  <c r="M70" i="6"/>
  <c r="C170" i="7"/>
  <c r="C171" i="7" s="1"/>
  <c r="C173" i="7" s="1"/>
  <c r="C186" i="7"/>
  <c r="C187" i="7" s="1"/>
  <c r="C189" i="7" s="1"/>
  <c r="C204" i="7"/>
  <c r="D193" i="7" s="1"/>
  <c r="D194" i="7"/>
  <c r="C154" i="7"/>
  <c r="C155" i="7" s="1"/>
  <c r="C157" i="7" s="1"/>
  <c r="C138" i="7"/>
  <c r="C139" i="7" s="1"/>
  <c r="C17" i="26"/>
  <c r="D14" i="6" s="1"/>
  <c r="C10" i="26"/>
  <c r="D11" i="6" s="1"/>
  <c r="C107" i="19"/>
  <c r="D10" i="10"/>
  <c r="D110" i="10"/>
  <c r="C111" i="10"/>
  <c r="C42" i="11"/>
  <c r="D16" i="12"/>
  <c r="C107" i="10"/>
  <c r="C57" i="19"/>
  <c r="C23" i="21"/>
  <c r="C41" i="14"/>
  <c r="C42" i="14" s="1"/>
  <c r="C38" i="12"/>
  <c r="D69" i="10"/>
  <c r="C18" i="11"/>
  <c r="D17" i="11" s="1"/>
  <c r="C52" i="12"/>
  <c r="C82" i="10"/>
  <c r="D81" i="10"/>
  <c r="C34" i="21"/>
  <c r="C19" i="18"/>
  <c r="C31" i="18" s="1"/>
  <c r="C33" i="18" s="1"/>
  <c r="C57" i="11"/>
  <c r="D86" i="6"/>
  <c r="C92" i="11"/>
  <c r="D91" i="11" s="1"/>
  <c r="C34" i="12"/>
  <c r="D74" i="10"/>
  <c r="C49" i="11"/>
  <c r="F35" i="5"/>
  <c r="E37" i="5"/>
  <c r="F12" i="1"/>
  <c r="G12" i="1" s="1"/>
  <c r="H12" i="1" s="1"/>
  <c r="I12" i="1" s="1"/>
  <c r="J12" i="1" s="1"/>
  <c r="K12" i="1" s="1"/>
  <c r="L12" i="1" s="1"/>
  <c r="C16" i="1"/>
  <c r="L33" i="7"/>
  <c r="L35" i="7" s="1"/>
  <c r="D69" i="5"/>
  <c r="E50" i="5"/>
  <c r="D94" i="5"/>
  <c r="C47" i="11" s="1"/>
  <c r="E86" i="5"/>
  <c r="D39" i="6"/>
  <c r="C64" i="11" s="1"/>
  <c r="C20" i="1"/>
  <c r="E15" i="1"/>
  <c r="K15" i="1"/>
  <c r="G15" i="1"/>
  <c r="L15" i="1"/>
  <c r="H15" i="1"/>
  <c r="D15" i="1"/>
  <c r="I15" i="1"/>
  <c r="F15" i="1"/>
  <c r="J15" i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A1" i="1"/>
  <c r="A1" i="2"/>
  <c r="E52" i="8" l="1"/>
  <c r="F52" i="8" s="1"/>
  <c r="E34" i="8"/>
  <c r="F34" i="8" s="1"/>
  <c r="C37" i="19"/>
  <c r="D153" i="5"/>
  <c r="C26" i="16" s="1"/>
  <c r="C59" i="22"/>
  <c r="C61" i="22" s="1"/>
  <c r="C57" i="22" s="1"/>
  <c r="C20" i="23" s="1"/>
  <c r="E38" i="25" s="1"/>
  <c r="E39" i="25" s="1"/>
  <c r="C17" i="7"/>
  <c r="E63" i="22"/>
  <c r="E36" i="22"/>
  <c r="D71" i="5"/>
  <c r="C10" i="16" s="1"/>
  <c r="C36" i="19"/>
  <c r="C25" i="19"/>
  <c r="C17" i="19"/>
  <c r="C37" i="11"/>
  <c r="D35" i="11"/>
  <c r="F100" i="5"/>
  <c r="E104" i="5"/>
  <c r="F109" i="5"/>
  <c r="E116" i="5"/>
  <c r="E151" i="5"/>
  <c r="F148" i="5"/>
  <c r="E126" i="5"/>
  <c r="F122" i="5"/>
  <c r="C26" i="19"/>
  <c r="C18" i="19"/>
  <c r="D128" i="5"/>
  <c r="E47" i="5"/>
  <c r="F40" i="5"/>
  <c r="E137" i="5"/>
  <c r="F135" i="5"/>
  <c r="E75" i="10"/>
  <c r="D36" i="11"/>
  <c r="F25" i="5"/>
  <c r="E27" i="5"/>
  <c r="C141" i="7"/>
  <c r="C18" i="7"/>
  <c r="C206" i="7"/>
  <c r="D195" i="7" s="1"/>
  <c r="C188" i="7"/>
  <c r="D178" i="7"/>
  <c r="C172" i="7"/>
  <c r="D162" i="7"/>
  <c r="D202" i="7"/>
  <c r="D203" i="7" s="1"/>
  <c r="C156" i="7"/>
  <c r="D146" i="7"/>
  <c r="C140" i="7"/>
  <c r="D129" i="7" s="1"/>
  <c r="D201" i="7"/>
  <c r="D21" i="6"/>
  <c r="C55" i="11" s="1"/>
  <c r="D17" i="26"/>
  <c r="E14" i="6" s="1"/>
  <c r="D10" i="26"/>
  <c r="E11" i="6" s="1"/>
  <c r="D49" i="11"/>
  <c r="E74" i="10"/>
  <c r="D34" i="21"/>
  <c r="D19" i="18"/>
  <c r="D31" i="18" s="1"/>
  <c r="D33" i="18" s="1"/>
  <c r="D61" i="10"/>
  <c r="C58" i="19"/>
  <c r="C25" i="21"/>
  <c r="E69" i="10"/>
  <c r="D18" i="11"/>
  <c r="E17" i="11" s="1"/>
  <c r="D23" i="21"/>
  <c r="D57" i="19"/>
  <c r="D107" i="10"/>
  <c r="C73" i="11"/>
  <c r="C14" i="14"/>
  <c r="D34" i="12"/>
  <c r="E86" i="6"/>
  <c r="D57" i="11"/>
  <c r="E81" i="10"/>
  <c r="D82" i="10"/>
  <c r="D42" i="11"/>
  <c r="E16" i="12"/>
  <c r="E110" i="10"/>
  <c r="D111" i="10"/>
  <c r="F37" i="5"/>
  <c r="G35" i="5"/>
  <c r="C35" i="21"/>
  <c r="C31" i="21" s="1"/>
  <c r="E30" i="25" s="1"/>
  <c r="E31" i="25" s="1"/>
  <c r="C59" i="11"/>
  <c r="C60" i="11" s="1"/>
  <c r="C35" i="14"/>
  <c r="C71" i="11"/>
  <c r="C28" i="13"/>
  <c r="C21" i="16"/>
  <c r="D56" i="11"/>
  <c r="D41" i="14"/>
  <c r="D42" i="14" s="1"/>
  <c r="D38" i="12"/>
  <c r="D41" i="11"/>
  <c r="C43" i="11"/>
  <c r="C44" i="11" s="1"/>
  <c r="C14" i="15" s="1"/>
  <c r="E10" i="10"/>
  <c r="D107" i="19"/>
  <c r="C50" i="11"/>
  <c r="C74" i="12" s="1"/>
  <c r="D48" i="11"/>
  <c r="D92" i="11"/>
  <c r="E91" i="11" s="1"/>
  <c r="D52" i="12"/>
  <c r="C66" i="11"/>
  <c r="C13" i="14"/>
  <c r="C73" i="12" s="1"/>
  <c r="C113" i="10"/>
  <c r="C19" i="16"/>
  <c r="C12" i="16"/>
  <c r="C13" i="13"/>
  <c r="C25" i="13"/>
  <c r="C18" i="1"/>
  <c r="D18" i="5" s="1"/>
  <c r="C12" i="12"/>
  <c r="C20" i="11" s="1"/>
  <c r="C88" i="10"/>
  <c r="C67" i="10"/>
  <c r="C97" i="10"/>
  <c r="C87" i="10"/>
  <c r="C92" i="10"/>
  <c r="C68" i="10"/>
  <c r="E97" i="8"/>
  <c r="E102" i="8"/>
  <c r="C32" i="17" s="1"/>
  <c r="E79" i="8"/>
  <c r="C31" i="17" s="1"/>
  <c r="E78" i="8"/>
  <c r="E66" i="8"/>
  <c r="E74" i="8" s="1"/>
  <c r="E67" i="8"/>
  <c r="E75" i="8" s="1"/>
  <c r="C16" i="22" s="1"/>
  <c r="E63" i="8"/>
  <c r="C15" i="22" s="1"/>
  <c r="E51" i="8"/>
  <c r="E48" i="8"/>
  <c r="C14" i="22" s="1"/>
  <c r="E33" i="8"/>
  <c r="E25" i="8"/>
  <c r="D77" i="5"/>
  <c r="C95" i="19" s="1"/>
  <c r="D13" i="5"/>
  <c r="D12" i="5"/>
  <c r="M24" i="7"/>
  <c r="M26" i="7"/>
  <c r="E39" i="6"/>
  <c r="D64" i="11" s="1"/>
  <c r="F50" i="5"/>
  <c r="E69" i="5"/>
  <c r="F86" i="5"/>
  <c r="E94" i="5"/>
  <c r="D47" i="11" s="1"/>
  <c r="L20" i="1"/>
  <c r="I16" i="1"/>
  <c r="I20" i="1"/>
  <c r="G16" i="1"/>
  <c r="G20" i="1"/>
  <c r="D16" i="1"/>
  <c r="D18" i="1" s="1"/>
  <c r="D20" i="1"/>
  <c r="K16" i="1"/>
  <c r="K20" i="1"/>
  <c r="F16" i="1"/>
  <c r="F20" i="1"/>
  <c r="J16" i="1"/>
  <c r="J20" i="1"/>
  <c r="H16" i="1"/>
  <c r="H20" i="1"/>
  <c r="E16" i="1"/>
  <c r="E20" i="1"/>
  <c r="D45" i="7"/>
  <c r="D46" i="7" s="1"/>
  <c r="D45" i="6" s="1"/>
  <c r="B50" i="14" l="1"/>
  <c r="C15" i="13"/>
  <c r="C68" i="19" s="1"/>
  <c r="G52" i="8"/>
  <c r="F97" i="8"/>
  <c r="G97" i="8" s="1"/>
  <c r="E153" i="5"/>
  <c r="D26" i="16" s="1"/>
  <c r="C16" i="11"/>
  <c r="C11" i="13"/>
  <c r="E21" i="6"/>
  <c r="D55" i="11" s="1"/>
  <c r="B52" i="22"/>
  <c r="D59" i="22"/>
  <c r="D61" i="22" s="1"/>
  <c r="D57" i="22" s="1"/>
  <c r="D20" i="23" s="1"/>
  <c r="F38" i="25" s="1"/>
  <c r="F39" i="25" s="1"/>
  <c r="F63" i="22"/>
  <c r="F36" i="22"/>
  <c r="E71" i="5"/>
  <c r="D11" i="13" s="1"/>
  <c r="E128" i="5"/>
  <c r="D14" i="13" s="1"/>
  <c r="F75" i="10"/>
  <c r="E36" i="11"/>
  <c r="F47" i="5"/>
  <c r="G40" i="5"/>
  <c r="D37" i="19"/>
  <c r="G109" i="5"/>
  <c r="F116" i="5"/>
  <c r="F151" i="5"/>
  <c r="G148" i="5"/>
  <c r="G25" i="5"/>
  <c r="F27" i="5"/>
  <c r="G135" i="5"/>
  <c r="F137" i="5"/>
  <c r="C34" i="11"/>
  <c r="C38" i="11" s="1"/>
  <c r="C13" i="15" s="1"/>
  <c r="C14" i="13"/>
  <c r="C13" i="16"/>
  <c r="D26" i="19"/>
  <c r="D18" i="19"/>
  <c r="D36" i="19"/>
  <c r="D37" i="11"/>
  <c r="E35" i="11"/>
  <c r="D25" i="19"/>
  <c r="D17" i="19"/>
  <c r="G122" i="5"/>
  <c r="F126" i="5"/>
  <c r="G100" i="5"/>
  <c r="F104" i="5"/>
  <c r="E106" i="8"/>
  <c r="E62" i="8"/>
  <c r="D132" i="7" s="1"/>
  <c r="E61" i="8"/>
  <c r="E47" i="8"/>
  <c r="D116" i="7" s="1"/>
  <c r="E46" i="8"/>
  <c r="E30" i="8"/>
  <c r="D103" i="7" s="1"/>
  <c r="E86" i="8"/>
  <c r="B95" i="11"/>
  <c r="D54" i="6"/>
  <c r="C28" i="22"/>
  <c r="C174" i="7"/>
  <c r="D161" i="7"/>
  <c r="C190" i="7"/>
  <c r="D177" i="7"/>
  <c r="C19" i="7"/>
  <c r="C22" i="7" s="1"/>
  <c r="D148" i="7"/>
  <c r="D130" i="7"/>
  <c r="C20" i="7"/>
  <c r="C23" i="7" s="1"/>
  <c r="C142" i="7"/>
  <c r="B48" i="22" s="1"/>
  <c r="D149" i="7"/>
  <c r="D145" i="7"/>
  <c r="C158" i="7"/>
  <c r="D138" i="7"/>
  <c r="D133" i="7"/>
  <c r="D117" i="7"/>
  <c r="D118" i="7" s="1"/>
  <c r="C23" i="13"/>
  <c r="C17" i="16"/>
  <c r="D137" i="7"/>
  <c r="C61" i="11"/>
  <c r="C17" i="15" s="1"/>
  <c r="E17" i="26"/>
  <c r="F14" i="6" s="1"/>
  <c r="E10" i="26"/>
  <c r="F11" i="6" s="1"/>
  <c r="E41" i="14"/>
  <c r="E42" i="14" s="1"/>
  <c r="E38" i="12"/>
  <c r="E56" i="11"/>
  <c r="C74" i="11"/>
  <c r="C75" i="11" s="1"/>
  <c r="C20" i="15" s="1"/>
  <c r="D72" i="11"/>
  <c r="D50" i="11"/>
  <c r="D74" i="12" s="1"/>
  <c r="E48" i="11"/>
  <c r="E52" i="12"/>
  <c r="E92" i="11"/>
  <c r="F91" i="11" s="1"/>
  <c r="C76" i="12"/>
  <c r="D58" i="11"/>
  <c r="D43" i="11"/>
  <c r="D44" i="11" s="1"/>
  <c r="D14" i="15" s="1"/>
  <c r="E41" i="11"/>
  <c r="D71" i="11"/>
  <c r="D21" i="16"/>
  <c r="D28" i="13"/>
  <c r="C51" i="11"/>
  <c r="C15" i="15" s="1"/>
  <c r="D66" i="11"/>
  <c r="D13" i="14"/>
  <c r="D73" i="12" s="1"/>
  <c r="D113" i="10"/>
  <c r="E57" i="19"/>
  <c r="E23" i="21"/>
  <c r="D31" i="10"/>
  <c r="D65" i="11"/>
  <c r="C67" i="11"/>
  <c r="C68" i="11" s="1"/>
  <c r="C18" i="15" s="1"/>
  <c r="F110" i="10"/>
  <c r="E111" i="10"/>
  <c r="D35" i="21"/>
  <c r="D31" i="21" s="1"/>
  <c r="F30" i="25" s="1"/>
  <c r="F31" i="25" s="1"/>
  <c r="D59" i="11"/>
  <c r="D35" i="14"/>
  <c r="F69" i="10"/>
  <c r="E18" i="11"/>
  <c r="F17" i="11" s="1"/>
  <c r="E49" i="11"/>
  <c r="F74" i="10"/>
  <c r="D58" i="19"/>
  <c r="D25" i="21"/>
  <c r="H35" i="5"/>
  <c r="G37" i="5"/>
  <c r="F16" i="12"/>
  <c r="E42" i="11"/>
  <c r="E57" i="11"/>
  <c r="E34" i="12"/>
  <c r="E34" i="21"/>
  <c r="E19" i="18"/>
  <c r="E31" i="18" s="1"/>
  <c r="E33" i="18" s="1"/>
  <c r="E61" i="10"/>
  <c r="F10" i="10"/>
  <c r="E107" i="19"/>
  <c r="D73" i="11"/>
  <c r="D14" i="14"/>
  <c r="E82" i="10"/>
  <c r="F81" i="10"/>
  <c r="F86" i="6"/>
  <c r="E107" i="10"/>
  <c r="D98" i="19"/>
  <c r="C90" i="19"/>
  <c r="C27" i="11"/>
  <c r="D96" i="19"/>
  <c r="C88" i="19"/>
  <c r="C29" i="17"/>
  <c r="C39" i="17" s="1"/>
  <c r="C16" i="21"/>
  <c r="C52" i="19"/>
  <c r="D99" i="19"/>
  <c r="C91" i="19"/>
  <c r="C89" i="19"/>
  <c r="D97" i="19"/>
  <c r="D19" i="11"/>
  <c r="C21" i="11"/>
  <c r="D12" i="16"/>
  <c r="D19" i="16"/>
  <c r="E13" i="5"/>
  <c r="F13" i="5" s="1"/>
  <c r="G13" i="5" s="1"/>
  <c r="H13" i="5" s="1"/>
  <c r="I13" i="5" s="1"/>
  <c r="J13" i="5" s="1"/>
  <c r="K13" i="5" s="1"/>
  <c r="L13" i="5" s="1"/>
  <c r="M13" i="5" s="1"/>
  <c r="F48" i="8"/>
  <c r="D14" i="22" s="1"/>
  <c r="D97" i="10"/>
  <c r="E97" i="10" s="1"/>
  <c r="F97" i="10" s="1"/>
  <c r="G97" i="10" s="1"/>
  <c r="H97" i="10" s="1"/>
  <c r="I97" i="10" s="1"/>
  <c r="J97" i="10" s="1"/>
  <c r="K97" i="10" s="1"/>
  <c r="L97" i="10" s="1"/>
  <c r="F66" i="8"/>
  <c r="F74" i="8" s="1"/>
  <c r="E73" i="8"/>
  <c r="E104" i="8"/>
  <c r="D20" i="5"/>
  <c r="E77" i="5"/>
  <c r="D95" i="19" s="1"/>
  <c r="F51" i="8"/>
  <c r="F62" i="8" s="1"/>
  <c r="E84" i="8"/>
  <c r="F78" i="8"/>
  <c r="D68" i="10"/>
  <c r="D67" i="10"/>
  <c r="C11" i="11"/>
  <c r="F25" i="8"/>
  <c r="E28" i="8"/>
  <c r="F63" i="8"/>
  <c r="D15" i="22" s="1"/>
  <c r="F79" i="8"/>
  <c r="D92" i="10"/>
  <c r="D88" i="10"/>
  <c r="D25" i="13"/>
  <c r="D13" i="13"/>
  <c r="D15" i="5"/>
  <c r="E12" i="5"/>
  <c r="F33" i="8"/>
  <c r="F67" i="8"/>
  <c r="F75" i="8" s="1"/>
  <c r="D16" i="22" s="1"/>
  <c r="F102" i="8"/>
  <c r="D87" i="10"/>
  <c r="C89" i="10"/>
  <c r="C17" i="12"/>
  <c r="C33" i="14" s="1"/>
  <c r="C36" i="14" s="1"/>
  <c r="D12" i="12"/>
  <c r="D20" i="11" s="1"/>
  <c r="M33" i="7"/>
  <c r="M35" i="7" s="1"/>
  <c r="G50" i="5"/>
  <c r="F69" i="5"/>
  <c r="F94" i="5"/>
  <c r="E47" i="11" s="1"/>
  <c r="G86" i="5"/>
  <c r="F39" i="6"/>
  <c r="E64" i="11" s="1"/>
  <c r="E45" i="7"/>
  <c r="E46" i="7" s="1"/>
  <c r="E45" i="6" s="1"/>
  <c r="E31" i="8" l="1"/>
  <c r="D17" i="16"/>
  <c r="D13" i="16"/>
  <c r="D10" i="16"/>
  <c r="C10" i="17"/>
  <c r="D15" i="13"/>
  <c r="D68" i="19" s="1"/>
  <c r="C22" i="11"/>
  <c r="C11" i="15" s="1"/>
  <c r="F71" i="5"/>
  <c r="E10" i="16" s="1"/>
  <c r="F47" i="8"/>
  <c r="E116" i="7" s="1"/>
  <c r="F46" i="8"/>
  <c r="D23" i="13"/>
  <c r="E59" i="22"/>
  <c r="E61" i="22" s="1"/>
  <c r="E57" i="22" s="1"/>
  <c r="E20" i="23" s="1"/>
  <c r="G38" i="25" s="1"/>
  <c r="G39" i="25" s="1"/>
  <c r="D16" i="11"/>
  <c r="E107" i="8"/>
  <c r="G36" i="22"/>
  <c r="G63" i="22"/>
  <c r="E37" i="19"/>
  <c r="F153" i="5"/>
  <c r="E26" i="16" s="1"/>
  <c r="D34" i="11"/>
  <c r="D38" i="11" s="1"/>
  <c r="D13" i="15" s="1"/>
  <c r="E36" i="19"/>
  <c r="H100" i="5"/>
  <c r="G104" i="5"/>
  <c r="H40" i="5"/>
  <c r="G47" i="5"/>
  <c r="H25" i="5"/>
  <c r="G27" i="5"/>
  <c r="G151" i="5"/>
  <c r="H148" i="5"/>
  <c r="F128" i="5"/>
  <c r="H122" i="5"/>
  <c r="G126" i="5"/>
  <c r="F37" i="19" s="1"/>
  <c r="E25" i="19"/>
  <c r="E17" i="19"/>
  <c r="E26" i="19"/>
  <c r="E18" i="19"/>
  <c r="H109" i="5"/>
  <c r="G116" i="5"/>
  <c r="F35" i="11"/>
  <c r="E37" i="11"/>
  <c r="G137" i="5"/>
  <c r="H135" i="5"/>
  <c r="F36" i="11"/>
  <c r="G75" i="10"/>
  <c r="D29" i="5"/>
  <c r="C94" i="19" s="1"/>
  <c r="C93" i="19" s="1"/>
  <c r="F86" i="8"/>
  <c r="C21" i="17"/>
  <c r="C24" i="17" s="1"/>
  <c r="F106" i="8"/>
  <c r="F30" i="8"/>
  <c r="E103" i="7" s="1"/>
  <c r="D50" i="6"/>
  <c r="C24" i="22"/>
  <c r="D124" i="7"/>
  <c r="C14" i="17"/>
  <c r="C9" i="17"/>
  <c r="D165" i="7"/>
  <c r="C11" i="17" s="1"/>
  <c r="C17" i="22"/>
  <c r="C21" i="7"/>
  <c r="B90" i="11" s="1"/>
  <c r="D197" i="7"/>
  <c r="C13" i="17" s="1"/>
  <c r="C19" i="22"/>
  <c r="D9" i="7"/>
  <c r="D139" i="7"/>
  <c r="D8" i="7"/>
  <c r="D179" i="7"/>
  <c r="B51" i="22"/>
  <c r="D170" i="7"/>
  <c r="D171" i="7" s="1"/>
  <c r="D169" i="7"/>
  <c r="C26" i="22" s="1"/>
  <c r="D185" i="7"/>
  <c r="C27" i="22" s="1"/>
  <c r="D186" i="7"/>
  <c r="D188" i="7" s="1"/>
  <c r="E177" i="7" s="1"/>
  <c r="E186" i="7" s="1"/>
  <c r="E188" i="7" s="1"/>
  <c r="B50" i="22"/>
  <c r="D163" i="7"/>
  <c r="D131" i="7"/>
  <c r="E87" i="8"/>
  <c r="C13" i="22"/>
  <c r="E149" i="7"/>
  <c r="E49" i="8"/>
  <c r="E148" i="7"/>
  <c r="D150" i="7"/>
  <c r="D151" i="7" s="1"/>
  <c r="E76" i="8"/>
  <c r="D147" i="7"/>
  <c r="B49" i="22"/>
  <c r="D154" i="7"/>
  <c r="D153" i="7"/>
  <c r="C25" i="22" s="1"/>
  <c r="D134" i="7"/>
  <c r="D135" i="7" s="1"/>
  <c r="E64" i="8"/>
  <c r="E133" i="7"/>
  <c r="E132" i="7"/>
  <c r="E117" i="7"/>
  <c r="E118" i="7" s="1"/>
  <c r="D104" i="7"/>
  <c r="D108" i="7" s="1"/>
  <c r="F21" i="6"/>
  <c r="E55" i="11" s="1"/>
  <c r="D51" i="11"/>
  <c r="D15" i="15" s="1"/>
  <c r="F17" i="26"/>
  <c r="G14" i="6" s="1"/>
  <c r="F10" i="26"/>
  <c r="G11" i="6" s="1"/>
  <c r="D60" i="11"/>
  <c r="D61" i="11" s="1"/>
  <c r="D17" i="15" s="1"/>
  <c r="C75" i="12"/>
  <c r="C113" i="19"/>
  <c r="C112" i="19" s="1"/>
  <c r="E66" i="11"/>
  <c r="E13" i="14"/>
  <c r="E73" i="12" s="1"/>
  <c r="E113" i="10"/>
  <c r="F82" i="10"/>
  <c r="G81" i="10"/>
  <c r="E35" i="21"/>
  <c r="E31" i="21" s="1"/>
  <c r="G30" i="25" s="1"/>
  <c r="G31" i="25" s="1"/>
  <c r="E59" i="11"/>
  <c r="E35" i="14"/>
  <c r="E43" i="11"/>
  <c r="E44" i="11" s="1"/>
  <c r="E14" i="15" s="1"/>
  <c r="F41" i="11"/>
  <c r="H37" i="5"/>
  <c r="I35" i="5"/>
  <c r="F48" i="11"/>
  <c r="E50" i="11"/>
  <c r="E74" i="12" s="1"/>
  <c r="F57" i="19"/>
  <c r="F23" i="21"/>
  <c r="F107" i="10"/>
  <c r="G10" i="10"/>
  <c r="F107" i="19"/>
  <c r="F34" i="12"/>
  <c r="G69" i="10"/>
  <c r="F18" i="11"/>
  <c r="G17" i="11" s="1"/>
  <c r="F92" i="11"/>
  <c r="G91" i="11" s="1"/>
  <c r="F41" i="14"/>
  <c r="F42" i="14" s="1"/>
  <c r="F38" i="12"/>
  <c r="G86" i="6"/>
  <c r="E72" i="11"/>
  <c r="D74" i="11"/>
  <c r="D75" i="11" s="1"/>
  <c r="D20" i="15" s="1"/>
  <c r="F34" i="21"/>
  <c r="F19" i="18"/>
  <c r="F31" i="18" s="1"/>
  <c r="F33" i="18" s="1"/>
  <c r="F61" i="10"/>
  <c r="F57" i="11"/>
  <c r="F49" i="11"/>
  <c r="G74" i="10"/>
  <c r="D76" i="12"/>
  <c r="E58" i="11"/>
  <c r="G110" i="10"/>
  <c r="F111" i="10"/>
  <c r="E65" i="11"/>
  <c r="D67" i="11"/>
  <c r="D68" i="11" s="1"/>
  <c r="D18" i="15" s="1"/>
  <c r="E58" i="19"/>
  <c r="E25" i="21"/>
  <c r="E31" i="10"/>
  <c r="E71" i="11"/>
  <c r="E21" i="16"/>
  <c r="E28" i="13"/>
  <c r="F56" i="11"/>
  <c r="G16" i="12"/>
  <c r="F42" i="11"/>
  <c r="E73" i="11"/>
  <c r="E14" i="14"/>
  <c r="F52" i="12"/>
  <c r="E19" i="11"/>
  <c r="D21" i="11"/>
  <c r="E88" i="10"/>
  <c r="E99" i="19"/>
  <c r="D91" i="19"/>
  <c r="E68" i="10"/>
  <c r="E98" i="19"/>
  <c r="D90" i="19"/>
  <c r="D27" i="11"/>
  <c r="C44" i="14"/>
  <c r="C21" i="21"/>
  <c r="C20" i="21" s="1"/>
  <c r="C55" i="19"/>
  <c r="C54" i="19" s="1"/>
  <c r="G67" i="8"/>
  <c r="G75" i="8" s="1"/>
  <c r="E16" i="22" s="1"/>
  <c r="E92" i="10"/>
  <c r="D52" i="19"/>
  <c r="D16" i="21"/>
  <c r="C87" i="19"/>
  <c r="G34" i="8"/>
  <c r="G48" i="8" s="1"/>
  <c r="E14" i="22" s="1"/>
  <c r="E97" i="19"/>
  <c r="D89" i="19"/>
  <c r="G63" i="8"/>
  <c r="E15" i="22" s="1"/>
  <c r="E96" i="19"/>
  <c r="D88" i="19"/>
  <c r="D26" i="11"/>
  <c r="G79" i="8"/>
  <c r="D31" i="17"/>
  <c r="G102" i="8"/>
  <c r="D32" i="17"/>
  <c r="D29" i="17"/>
  <c r="E19" i="16"/>
  <c r="E12" i="16"/>
  <c r="C99" i="10"/>
  <c r="C98" i="10" s="1"/>
  <c r="C20" i="14"/>
  <c r="E12" i="12"/>
  <c r="E20" i="11" s="1"/>
  <c r="D17" i="12"/>
  <c r="D33" i="14" s="1"/>
  <c r="D36" i="14" s="1"/>
  <c r="G25" i="8"/>
  <c r="F28" i="8"/>
  <c r="D10" i="11"/>
  <c r="C12" i="11"/>
  <c r="E13" i="13"/>
  <c r="F12" i="5"/>
  <c r="E15" i="5"/>
  <c r="E67" i="10"/>
  <c r="D11" i="11"/>
  <c r="F104" i="8"/>
  <c r="G51" i="8"/>
  <c r="G62" i="8" s="1"/>
  <c r="F61" i="8"/>
  <c r="E25" i="13"/>
  <c r="D89" i="10"/>
  <c r="E87" i="10"/>
  <c r="G33" i="8"/>
  <c r="G47" i="8" s="1"/>
  <c r="D11" i="7"/>
  <c r="G78" i="8"/>
  <c r="F84" i="8"/>
  <c r="F77" i="5"/>
  <c r="E95" i="19" s="1"/>
  <c r="E20" i="5"/>
  <c r="G66" i="8"/>
  <c r="G74" i="8" s="1"/>
  <c r="F73" i="8"/>
  <c r="G94" i="5"/>
  <c r="F47" i="11" s="1"/>
  <c r="H86" i="5"/>
  <c r="H50" i="5"/>
  <c r="G69" i="5"/>
  <c r="G39" i="6"/>
  <c r="F64" i="11" s="1"/>
  <c r="D48" i="7"/>
  <c r="D49" i="7" s="1"/>
  <c r="F45" i="7"/>
  <c r="F46" i="7" s="1"/>
  <c r="F45" i="6" s="1"/>
  <c r="E11" i="13" l="1"/>
  <c r="E16" i="11"/>
  <c r="D22" i="11"/>
  <c r="D11" i="15" s="1"/>
  <c r="F59" i="22"/>
  <c r="F61" i="22" s="1"/>
  <c r="F57" i="22" s="1"/>
  <c r="F20" i="23" s="1"/>
  <c r="H38" i="25" s="1"/>
  <c r="H39" i="25" s="1"/>
  <c r="D166" i="7"/>
  <c r="D172" i="7" s="1"/>
  <c r="E161" i="7" s="1"/>
  <c r="G128" i="5"/>
  <c r="F13" i="16" s="1"/>
  <c r="H63" i="22"/>
  <c r="E15" i="13"/>
  <c r="E68" i="19" s="1"/>
  <c r="H36" i="22"/>
  <c r="G21" i="6"/>
  <c r="F55" i="11" s="1"/>
  <c r="G86" i="8"/>
  <c r="C9" i="11"/>
  <c r="C13" i="11" s="1"/>
  <c r="C10" i="15" s="1"/>
  <c r="C9" i="16"/>
  <c r="C10" i="13"/>
  <c r="C84" i="19"/>
  <c r="C32" i="20" s="1"/>
  <c r="E22" i="25" s="1"/>
  <c r="E23" i="25" s="1"/>
  <c r="G71" i="5"/>
  <c r="F10" i="16" s="1"/>
  <c r="H75" i="10"/>
  <c r="G36" i="11"/>
  <c r="H137" i="5"/>
  <c r="I135" i="5"/>
  <c r="E13" i="16"/>
  <c r="E14" i="13"/>
  <c r="E34" i="11"/>
  <c r="E38" i="11" s="1"/>
  <c r="E13" i="15" s="1"/>
  <c r="I25" i="5"/>
  <c r="H27" i="5"/>
  <c r="H47" i="5"/>
  <c r="I40" i="5"/>
  <c r="G35" i="11"/>
  <c r="F37" i="11"/>
  <c r="F25" i="19"/>
  <c r="F17" i="19"/>
  <c r="I109" i="5"/>
  <c r="H116" i="5"/>
  <c r="I148" i="5"/>
  <c r="H151" i="5"/>
  <c r="H153" i="5" s="1"/>
  <c r="F26" i="19"/>
  <c r="F18" i="19"/>
  <c r="F36" i="19"/>
  <c r="G153" i="5"/>
  <c r="I122" i="5"/>
  <c r="H126" i="5"/>
  <c r="I100" i="5"/>
  <c r="H104" i="5"/>
  <c r="F107" i="8"/>
  <c r="C20" i="22"/>
  <c r="D9" i="17"/>
  <c r="G106" i="8"/>
  <c r="F31" i="8"/>
  <c r="D21" i="17"/>
  <c r="D24" i="17" s="1"/>
  <c r="D12" i="7"/>
  <c r="C78" i="22" s="1"/>
  <c r="G30" i="8"/>
  <c r="F103" i="7" s="1"/>
  <c r="E119" i="7"/>
  <c r="E120" i="7" s="1"/>
  <c r="D14" i="17"/>
  <c r="D10" i="17"/>
  <c r="E165" i="7"/>
  <c r="D11" i="17" s="1"/>
  <c r="D17" i="22"/>
  <c r="D198" i="7"/>
  <c r="D204" i="7" s="1"/>
  <c r="E193" i="7" s="1"/>
  <c r="E202" i="7" s="1"/>
  <c r="B22" i="14"/>
  <c r="B27" i="14" s="1"/>
  <c r="E197" i="7"/>
  <c r="D13" i="17" s="1"/>
  <c r="D19" i="22"/>
  <c r="D141" i="7"/>
  <c r="E130" i="7" s="1"/>
  <c r="D187" i="7"/>
  <c r="D189" i="7" s="1"/>
  <c r="D17" i="7"/>
  <c r="D155" i="7"/>
  <c r="D157" i="7" s="1"/>
  <c r="E146" i="7" s="1"/>
  <c r="E185" i="7"/>
  <c r="D10" i="7"/>
  <c r="B46" i="22"/>
  <c r="B32" i="22" s="1"/>
  <c r="B15" i="23" s="1"/>
  <c r="D36" i="25" s="1"/>
  <c r="D37" i="25" s="1"/>
  <c r="D52" i="6"/>
  <c r="D53" i="6"/>
  <c r="F64" i="8"/>
  <c r="F87" i="8"/>
  <c r="F76" i="8"/>
  <c r="F148" i="7"/>
  <c r="F149" i="7"/>
  <c r="D156" i="7"/>
  <c r="D152" i="7"/>
  <c r="D13" i="22"/>
  <c r="D51" i="6"/>
  <c r="F132" i="7"/>
  <c r="F133" i="7"/>
  <c r="D136" i="7"/>
  <c r="D140" i="7"/>
  <c r="E129" i="7" s="1"/>
  <c r="F116" i="7"/>
  <c r="F117" i="7"/>
  <c r="F49" i="8"/>
  <c r="E23" i="13"/>
  <c r="E104" i="7"/>
  <c r="D105" i="7"/>
  <c r="D109" i="7" s="1"/>
  <c r="E100" i="7" s="1"/>
  <c r="E134" i="7"/>
  <c r="E150" i="7"/>
  <c r="D119" i="7"/>
  <c r="D125" i="7" s="1"/>
  <c r="E17" i="16"/>
  <c r="G17" i="26"/>
  <c r="H14" i="6" s="1"/>
  <c r="G10" i="26"/>
  <c r="H11" i="6" s="1"/>
  <c r="E113" i="7"/>
  <c r="E122" i="7" s="1"/>
  <c r="D75" i="12"/>
  <c r="D113" i="19"/>
  <c r="D112" i="19" s="1"/>
  <c r="E51" i="11"/>
  <c r="E15" i="15" s="1"/>
  <c r="F25" i="21"/>
  <c r="F58" i="19"/>
  <c r="G57" i="11"/>
  <c r="H86" i="6"/>
  <c r="G41" i="14"/>
  <c r="G42" i="14" s="1"/>
  <c r="G38" i="12"/>
  <c r="J35" i="5"/>
  <c r="I37" i="5"/>
  <c r="E67" i="11"/>
  <c r="E68" i="11" s="1"/>
  <c r="E18" i="15" s="1"/>
  <c r="F65" i="11"/>
  <c r="H16" i="12"/>
  <c r="G42" i="11"/>
  <c r="G49" i="11"/>
  <c r="H74" i="10"/>
  <c r="H69" i="10"/>
  <c r="G18" i="11"/>
  <c r="H17" i="11" s="1"/>
  <c r="G57" i="19"/>
  <c r="G23" i="21"/>
  <c r="E76" i="12"/>
  <c r="F58" i="11"/>
  <c r="B93" i="11"/>
  <c r="B96" i="11" s="1"/>
  <c r="B29" i="15" s="1"/>
  <c r="C89" i="11"/>
  <c r="E74" i="11"/>
  <c r="E75" i="11" s="1"/>
  <c r="E20" i="15" s="1"/>
  <c r="F72" i="11"/>
  <c r="F73" i="11"/>
  <c r="F14" i="14"/>
  <c r="F50" i="11"/>
  <c r="F74" i="12" s="1"/>
  <c r="G48" i="11"/>
  <c r="F35" i="21"/>
  <c r="F31" i="21" s="1"/>
  <c r="H30" i="25" s="1"/>
  <c r="H31" i="25" s="1"/>
  <c r="F59" i="11"/>
  <c r="F35" i="14"/>
  <c r="F66" i="11"/>
  <c r="F13" i="14"/>
  <c r="F73" i="12" s="1"/>
  <c r="F113" i="10"/>
  <c r="F177" i="7"/>
  <c r="G34" i="21"/>
  <c r="G19" i="18"/>
  <c r="G31" i="18" s="1"/>
  <c r="G33" i="18" s="1"/>
  <c r="G61" i="10"/>
  <c r="G31" i="10" s="1"/>
  <c r="G82" i="10"/>
  <c r="H81" i="10"/>
  <c r="F31" i="10"/>
  <c r="H10" i="10"/>
  <c r="G107" i="19"/>
  <c r="G52" i="12"/>
  <c r="F43" i="11"/>
  <c r="F44" i="11" s="1"/>
  <c r="F14" i="15" s="1"/>
  <c r="G41" i="11"/>
  <c r="E60" i="11"/>
  <c r="E61" i="11" s="1"/>
  <c r="E17" i="15" s="1"/>
  <c r="H110" i="10"/>
  <c r="G111" i="10"/>
  <c r="G56" i="11"/>
  <c r="F71" i="11"/>
  <c r="F21" i="16"/>
  <c r="F28" i="13"/>
  <c r="G92" i="11"/>
  <c r="H91" i="11" s="1"/>
  <c r="G34" i="12"/>
  <c r="G107" i="10"/>
  <c r="F19" i="11"/>
  <c r="E21" i="11"/>
  <c r="E22" i="11" s="1"/>
  <c r="E11" i="15" s="1"/>
  <c r="H52" i="8"/>
  <c r="H63" i="8" s="1"/>
  <c r="F15" i="22" s="1"/>
  <c r="H34" i="8"/>
  <c r="H48" i="8" s="1"/>
  <c r="F14" i="22" s="1"/>
  <c r="F92" i="10"/>
  <c r="E52" i="19"/>
  <c r="E16" i="21"/>
  <c r="F88" i="10"/>
  <c r="F99" i="19"/>
  <c r="E91" i="19"/>
  <c r="D87" i="19"/>
  <c r="F68" i="10"/>
  <c r="F98" i="19"/>
  <c r="E90" i="19"/>
  <c r="E27" i="11"/>
  <c r="F97" i="19"/>
  <c r="E89" i="19"/>
  <c r="H67" i="8"/>
  <c r="H75" i="8" s="1"/>
  <c r="F16" i="22" s="1"/>
  <c r="E26" i="11"/>
  <c r="F96" i="19"/>
  <c r="E88" i="19"/>
  <c r="D44" i="14"/>
  <c r="D21" i="21"/>
  <c r="D20" i="21" s="1"/>
  <c r="D55" i="19"/>
  <c r="D54" i="19" s="1"/>
  <c r="D39" i="17"/>
  <c r="H102" i="8"/>
  <c r="E32" i="17"/>
  <c r="H79" i="8"/>
  <c r="E31" i="17"/>
  <c r="E29" i="17"/>
  <c r="C15" i="17"/>
  <c r="C26" i="17" s="1"/>
  <c r="F19" i="16"/>
  <c r="F12" i="16"/>
  <c r="E29" i="5"/>
  <c r="D94" i="19" s="1"/>
  <c r="D93" i="19" s="1"/>
  <c r="D99" i="10"/>
  <c r="D98" i="10" s="1"/>
  <c r="D20" i="14"/>
  <c r="E11" i="7"/>
  <c r="H25" i="8"/>
  <c r="G28" i="8"/>
  <c r="F13" i="13"/>
  <c r="H66" i="8"/>
  <c r="H74" i="8" s="1"/>
  <c r="G73" i="8"/>
  <c r="G77" i="5"/>
  <c r="F95" i="19" s="1"/>
  <c r="E99" i="7"/>
  <c r="H51" i="8"/>
  <c r="H62" i="8" s="1"/>
  <c r="G61" i="8"/>
  <c r="G64" i="8" s="1"/>
  <c r="F67" i="10"/>
  <c r="E11" i="11"/>
  <c r="G12" i="5"/>
  <c r="F15" i="5"/>
  <c r="F20" i="5"/>
  <c r="H78" i="8"/>
  <c r="G84" i="8"/>
  <c r="H33" i="8"/>
  <c r="H47" i="8" s="1"/>
  <c r="G46" i="8"/>
  <c r="F12" i="12"/>
  <c r="F20" i="11" s="1"/>
  <c r="E17" i="12"/>
  <c r="E33" i="14" s="1"/>
  <c r="E36" i="14" s="1"/>
  <c r="F25" i="13"/>
  <c r="F87" i="10"/>
  <c r="E89" i="10"/>
  <c r="H97" i="8"/>
  <c r="I97" i="8" s="1"/>
  <c r="G104" i="8"/>
  <c r="E10" i="11"/>
  <c r="D12" i="11"/>
  <c r="H69" i="5"/>
  <c r="I50" i="5"/>
  <c r="I86" i="5"/>
  <c r="H94" i="5"/>
  <c r="G47" i="11" s="1"/>
  <c r="H39" i="6"/>
  <c r="G64" i="11" s="1"/>
  <c r="G45" i="7"/>
  <c r="G46" i="7" s="1"/>
  <c r="G45" i="6" s="1"/>
  <c r="E39" i="7"/>
  <c r="F60" i="11" l="1"/>
  <c r="D167" i="7"/>
  <c r="D173" i="7" s="1"/>
  <c r="F23" i="13"/>
  <c r="F14" i="13"/>
  <c r="F61" i="11"/>
  <c r="F17" i="15" s="1"/>
  <c r="F17" i="16"/>
  <c r="H71" i="5"/>
  <c r="G10" i="16" s="1"/>
  <c r="F16" i="11"/>
  <c r="F11" i="13"/>
  <c r="G59" i="22"/>
  <c r="G61" i="22" s="1"/>
  <c r="G57" i="22" s="1"/>
  <c r="G20" i="23" s="1"/>
  <c r="I38" i="25" s="1"/>
  <c r="I39" i="25" s="1"/>
  <c r="H86" i="8"/>
  <c r="I36" i="22"/>
  <c r="I63" i="22"/>
  <c r="G37" i="19"/>
  <c r="G36" i="19"/>
  <c r="G15" i="13"/>
  <c r="G68" i="19" s="1"/>
  <c r="G26" i="16"/>
  <c r="H128" i="5"/>
  <c r="J122" i="5"/>
  <c r="I126" i="5"/>
  <c r="J109" i="5"/>
  <c r="I116" i="5"/>
  <c r="J25" i="5"/>
  <c r="I27" i="5"/>
  <c r="I75" i="10"/>
  <c r="H36" i="11"/>
  <c r="F15" i="13"/>
  <c r="F68" i="19" s="1"/>
  <c r="F26" i="16"/>
  <c r="G26" i="19"/>
  <c r="G18" i="19"/>
  <c r="J40" i="5"/>
  <c r="I47" i="5"/>
  <c r="J135" i="5"/>
  <c r="I137" i="5"/>
  <c r="F34" i="11"/>
  <c r="F38" i="11" s="1"/>
  <c r="F13" i="15" s="1"/>
  <c r="J100" i="5"/>
  <c r="I104" i="5"/>
  <c r="J148" i="5"/>
  <c r="I151" i="5"/>
  <c r="G25" i="19"/>
  <c r="G17" i="19"/>
  <c r="G37" i="11"/>
  <c r="H35" i="11"/>
  <c r="G107" i="8"/>
  <c r="G31" i="8"/>
  <c r="H106" i="8"/>
  <c r="E198" i="7"/>
  <c r="E199" i="7" s="1"/>
  <c r="E200" i="7" s="1"/>
  <c r="D13" i="7"/>
  <c r="E9" i="17"/>
  <c r="E10" i="17"/>
  <c r="E21" i="17"/>
  <c r="E24" i="17" s="1"/>
  <c r="H30" i="8"/>
  <c r="G103" i="7" s="1"/>
  <c r="D20" i="22"/>
  <c r="E166" i="7"/>
  <c r="E167" i="7" s="1"/>
  <c r="E168" i="7" s="1"/>
  <c r="E12" i="7"/>
  <c r="D78" i="22" s="1"/>
  <c r="F118" i="7"/>
  <c r="F119" i="7" s="1"/>
  <c r="F120" i="7" s="1"/>
  <c r="E14" i="17"/>
  <c r="E53" i="6"/>
  <c r="D27" i="22"/>
  <c r="D199" i="7"/>
  <c r="D205" i="7" s="1"/>
  <c r="D206" i="7" s="1"/>
  <c r="F165" i="7"/>
  <c r="E11" i="17" s="1"/>
  <c r="E17" i="22"/>
  <c r="F197" i="7"/>
  <c r="E13" i="17" s="1"/>
  <c r="E19" i="22"/>
  <c r="D18" i="7"/>
  <c r="C95" i="11" s="1"/>
  <c r="E178" i="7"/>
  <c r="D190" i="7"/>
  <c r="E107" i="7"/>
  <c r="E47" i="6" s="1"/>
  <c r="E108" i="7"/>
  <c r="F185" i="7"/>
  <c r="F186" i="7"/>
  <c r="F188" i="7" s="1"/>
  <c r="D168" i="7"/>
  <c r="E162" i="7"/>
  <c r="E169" i="7"/>
  <c r="D26" i="22" s="1"/>
  <c r="E170" i="7"/>
  <c r="G87" i="8"/>
  <c r="D19" i="7"/>
  <c r="G149" i="7"/>
  <c r="G76" i="8"/>
  <c r="D158" i="7"/>
  <c r="E147" i="7" s="1"/>
  <c r="E145" i="7"/>
  <c r="E153" i="7" s="1"/>
  <c r="D25" i="22" s="1"/>
  <c r="G148" i="7"/>
  <c r="C22" i="22"/>
  <c r="C9" i="22" s="1"/>
  <c r="C10" i="23" s="1"/>
  <c r="E34" i="25" s="1"/>
  <c r="E35" i="25" s="1"/>
  <c r="E13" i="22"/>
  <c r="D142" i="7"/>
  <c r="G132" i="7"/>
  <c r="G133" i="7"/>
  <c r="E138" i="7"/>
  <c r="E140" i="7" s="1"/>
  <c r="D126" i="7"/>
  <c r="G116" i="7"/>
  <c r="G117" i="7"/>
  <c r="E124" i="7"/>
  <c r="F113" i="7" s="1"/>
  <c r="F122" i="7" s="1"/>
  <c r="G49" i="8"/>
  <c r="H21" i="6"/>
  <c r="G55" i="11" s="1"/>
  <c r="F29" i="5"/>
  <c r="E94" i="19" s="1"/>
  <c r="E93" i="19" s="1"/>
  <c r="D106" i="7"/>
  <c r="F104" i="7"/>
  <c r="E105" i="7"/>
  <c r="E106" i="7" s="1"/>
  <c r="D15" i="17"/>
  <c r="D26" i="17" s="1"/>
  <c r="D42" i="21" s="1"/>
  <c r="D110" i="7"/>
  <c r="E101" i="7" s="1"/>
  <c r="F150" i="7"/>
  <c r="E121" i="7"/>
  <c r="D120" i="7"/>
  <c r="F134" i="7"/>
  <c r="E201" i="7"/>
  <c r="E151" i="7"/>
  <c r="E152" i="7" s="1"/>
  <c r="E135" i="7"/>
  <c r="E136" i="7" s="1"/>
  <c r="E137" i="7"/>
  <c r="E75" i="12"/>
  <c r="H17" i="26"/>
  <c r="I14" i="6" s="1"/>
  <c r="H10" i="26"/>
  <c r="I11" i="6" s="1"/>
  <c r="I10" i="10"/>
  <c r="H107" i="19"/>
  <c r="I69" i="10"/>
  <c r="H18" i="11"/>
  <c r="I17" i="11" s="1"/>
  <c r="H34" i="12"/>
  <c r="E113" i="19"/>
  <c r="E112" i="19" s="1"/>
  <c r="H52" i="12"/>
  <c r="H34" i="21"/>
  <c r="H19" i="18"/>
  <c r="H31" i="18" s="1"/>
  <c r="H33" i="18" s="1"/>
  <c r="H61" i="10"/>
  <c r="G58" i="11"/>
  <c r="F76" i="12"/>
  <c r="H49" i="11"/>
  <c r="I74" i="10"/>
  <c r="I16" i="12"/>
  <c r="H42" i="11"/>
  <c r="H41" i="14"/>
  <c r="H42" i="14" s="1"/>
  <c r="H38" i="12"/>
  <c r="H57" i="11"/>
  <c r="G66" i="11"/>
  <c r="G13" i="14"/>
  <c r="G73" i="12" s="1"/>
  <c r="G113" i="10"/>
  <c r="G73" i="11"/>
  <c r="G14" i="14"/>
  <c r="F51" i="11"/>
  <c r="F15" i="15" s="1"/>
  <c r="G50" i="11"/>
  <c r="G74" i="12" s="1"/>
  <c r="H48" i="11"/>
  <c r="K35" i="5"/>
  <c r="J37" i="5"/>
  <c r="G71" i="11"/>
  <c r="G28" i="13"/>
  <c r="G21" i="16"/>
  <c r="G35" i="21"/>
  <c r="G31" i="21" s="1"/>
  <c r="I30" i="25" s="1"/>
  <c r="I31" i="25" s="1"/>
  <c r="G59" i="11"/>
  <c r="G35" i="14"/>
  <c r="G58" i="19"/>
  <c r="G25" i="21"/>
  <c r="H82" i="10"/>
  <c r="I81" i="10"/>
  <c r="H23" i="21"/>
  <c r="H57" i="19"/>
  <c r="H56" i="11"/>
  <c r="H107" i="10"/>
  <c r="H92" i="11"/>
  <c r="I91" i="11" s="1"/>
  <c r="I110" i="10"/>
  <c r="H111" i="10"/>
  <c r="G65" i="11"/>
  <c r="F67" i="11"/>
  <c r="F68" i="11" s="1"/>
  <c r="F18" i="15" s="1"/>
  <c r="G72" i="11"/>
  <c r="F74" i="11"/>
  <c r="F75" i="11" s="1"/>
  <c r="F20" i="15" s="1"/>
  <c r="B34" i="16"/>
  <c r="B38" i="16" s="1"/>
  <c r="B40" i="16" s="1"/>
  <c r="B42" i="16" s="1"/>
  <c r="B30" i="15"/>
  <c r="B40" i="15" s="1"/>
  <c r="B12" i="10" s="1"/>
  <c r="B23" i="15"/>
  <c r="H41" i="11"/>
  <c r="G43" i="11"/>
  <c r="G44" i="11" s="1"/>
  <c r="G14" i="15" s="1"/>
  <c r="I86" i="6"/>
  <c r="E44" i="14"/>
  <c r="E55" i="19"/>
  <c r="E54" i="19" s="1"/>
  <c r="E21" i="21"/>
  <c r="E20" i="21" s="1"/>
  <c r="G96" i="19"/>
  <c r="F88" i="19"/>
  <c r="G97" i="19"/>
  <c r="F89" i="19"/>
  <c r="G19" i="11"/>
  <c r="F21" i="11"/>
  <c r="E87" i="19"/>
  <c r="G68" i="10"/>
  <c r="F90" i="19"/>
  <c r="G98" i="19"/>
  <c r="F27" i="11"/>
  <c r="G92" i="10"/>
  <c r="F16" i="21"/>
  <c r="F52" i="19"/>
  <c r="I52" i="8"/>
  <c r="D10" i="13"/>
  <c r="F26" i="11"/>
  <c r="D84" i="19"/>
  <c r="D32" i="20" s="1"/>
  <c r="F22" i="25" s="1"/>
  <c r="F23" i="25" s="1"/>
  <c r="G88" i="10"/>
  <c r="G99" i="19"/>
  <c r="F91" i="19"/>
  <c r="C41" i="17"/>
  <c r="E10" i="25" s="1"/>
  <c r="E11" i="25" s="1"/>
  <c r="C42" i="21"/>
  <c r="I67" i="8"/>
  <c r="I75" i="8" s="1"/>
  <c r="G16" i="22" s="1"/>
  <c r="I34" i="8"/>
  <c r="I48" i="8" s="1"/>
  <c r="G14" i="22" s="1"/>
  <c r="I79" i="8"/>
  <c r="F31" i="17"/>
  <c r="F29" i="17"/>
  <c r="E39" i="17"/>
  <c r="I102" i="8"/>
  <c r="F32" i="17"/>
  <c r="D9" i="16"/>
  <c r="G19" i="16"/>
  <c r="D9" i="11"/>
  <c r="D13" i="11" s="1"/>
  <c r="D10" i="15" s="1"/>
  <c r="G12" i="16"/>
  <c r="E99" i="10"/>
  <c r="E98" i="10" s="1"/>
  <c r="E20" i="14"/>
  <c r="H104" i="8"/>
  <c r="G12" i="12"/>
  <c r="G20" i="11" s="1"/>
  <c r="F17" i="12"/>
  <c r="F33" i="14" s="1"/>
  <c r="F36" i="14" s="1"/>
  <c r="E12" i="11"/>
  <c r="F10" i="11"/>
  <c r="H77" i="5"/>
  <c r="G95" i="19" s="1"/>
  <c r="I78" i="8"/>
  <c r="H84" i="8"/>
  <c r="I51" i="8"/>
  <c r="I62" i="8" s="1"/>
  <c r="H61" i="8"/>
  <c r="F11" i="7"/>
  <c r="G25" i="13"/>
  <c r="I33" i="8"/>
  <c r="I47" i="8" s="1"/>
  <c r="H46" i="8"/>
  <c r="G20" i="5"/>
  <c r="G67" i="10"/>
  <c r="F11" i="11"/>
  <c r="G10" i="11" s="1"/>
  <c r="G13" i="13"/>
  <c r="G87" i="10"/>
  <c r="F89" i="10"/>
  <c r="D58" i="6"/>
  <c r="C88" i="11" s="1"/>
  <c r="D16" i="7"/>
  <c r="C83" i="22" s="1"/>
  <c r="G15" i="5"/>
  <c r="H12" i="5"/>
  <c r="I66" i="8"/>
  <c r="I74" i="8" s="1"/>
  <c r="H73" i="8"/>
  <c r="I25" i="8"/>
  <c r="H28" i="8"/>
  <c r="J86" i="5"/>
  <c r="I94" i="5"/>
  <c r="H47" i="11" s="1"/>
  <c r="I39" i="6"/>
  <c r="H64" i="11" s="1"/>
  <c r="I69" i="5"/>
  <c r="J50" i="5"/>
  <c r="E40" i="7"/>
  <c r="E48" i="7"/>
  <c r="E49" i="7" s="1"/>
  <c r="H45" i="7"/>
  <c r="H46" i="7" s="1"/>
  <c r="H45" i="6" s="1"/>
  <c r="G16" i="11" l="1"/>
  <c r="I63" i="8"/>
  <c r="G15" i="22" s="1"/>
  <c r="J52" i="8"/>
  <c r="K52" i="8" s="1"/>
  <c r="E204" i="7"/>
  <c r="F193" i="7" s="1"/>
  <c r="F201" i="7" s="1"/>
  <c r="C50" i="14"/>
  <c r="G11" i="13"/>
  <c r="I71" i="5"/>
  <c r="H11" i="13" s="1"/>
  <c r="F22" i="11"/>
  <c r="F11" i="15" s="1"/>
  <c r="H59" i="22"/>
  <c r="H61" i="22" s="1"/>
  <c r="H57" i="22" s="1"/>
  <c r="H20" i="23" s="1"/>
  <c r="J38" i="25" s="1"/>
  <c r="J39" i="25" s="1"/>
  <c r="I153" i="5"/>
  <c r="H26" i="16" s="1"/>
  <c r="J63" i="22"/>
  <c r="J36" i="22"/>
  <c r="E9" i="11"/>
  <c r="E13" i="11" s="1"/>
  <c r="E10" i="15" s="1"/>
  <c r="H36" i="19"/>
  <c r="I128" i="5"/>
  <c r="K40" i="5"/>
  <c r="J47" i="5"/>
  <c r="K25" i="5"/>
  <c r="J27" i="5"/>
  <c r="K122" i="5"/>
  <c r="J126" i="5"/>
  <c r="H25" i="19"/>
  <c r="H17" i="19"/>
  <c r="H37" i="11"/>
  <c r="I35" i="11"/>
  <c r="G14" i="13"/>
  <c r="G13" i="16"/>
  <c r="G34" i="11"/>
  <c r="G38" i="11" s="1"/>
  <c r="G13" i="15" s="1"/>
  <c r="H26" i="19"/>
  <c r="H18" i="19"/>
  <c r="J104" i="5"/>
  <c r="K100" i="5"/>
  <c r="K135" i="5"/>
  <c r="J137" i="5"/>
  <c r="J75" i="10"/>
  <c r="I36" i="11"/>
  <c r="K109" i="5"/>
  <c r="J116" i="5"/>
  <c r="K148" i="5"/>
  <c r="J151" i="5"/>
  <c r="H37" i="19"/>
  <c r="E13" i="7"/>
  <c r="D22" i="7"/>
  <c r="G17" i="16"/>
  <c r="G23" i="13"/>
  <c r="D14" i="7"/>
  <c r="F9" i="17"/>
  <c r="I86" i="8"/>
  <c r="F21" i="17"/>
  <c r="F24" i="17" s="1"/>
  <c r="D200" i="7"/>
  <c r="I106" i="8"/>
  <c r="F166" i="7"/>
  <c r="F167" i="7" s="1"/>
  <c r="F168" i="7" s="1"/>
  <c r="F12" i="7"/>
  <c r="E78" i="22" s="1"/>
  <c r="I30" i="8"/>
  <c r="H103" i="7" s="1"/>
  <c r="E50" i="6"/>
  <c r="D24" i="22"/>
  <c r="G118" i="7"/>
  <c r="G119" i="7" s="1"/>
  <c r="G120" i="7" s="1"/>
  <c r="F14" i="17"/>
  <c r="E54" i="6"/>
  <c r="D28" i="22"/>
  <c r="F10" i="17"/>
  <c r="F53" i="6"/>
  <c r="E27" i="22"/>
  <c r="F198" i="7"/>
  <c r="F199" i="7" s="1"/>
  <c r="F200" i="7" s="1"/>
  <c r="E48" i="6"/>
  <c r="D23" i="22"/>
  <c r="E20" i="22"/>
  <c r="G165" i="7"/>
  <c r="F11" i="17" s="1"/>
  <c r="F17" i="22"/>
  <c r="G197" i="7"/>
  <c r="F13" i="17" s="1"/>
  <c r="F19" i="22"/>
  <c r="H107" i="8"/>
  <c r="E187" i="7"/>
  <c r="E189" i="7" s="1"/>
  <c r="E171" i="7"/>
  <c r="E173" i="7" s="1"/>
  <c r="F162" i="7" s="1"/>
  <c r="C49" i="22"/>
  <c r="E139" i="7"/>
  <c r="E141" i="7" s="1"/>
  <c r="F130" i="7" s="1"/>
  <c r="E179" i="7"/>
  <c r="C51" i="22"/>
  <c r="G104" i="7"/>
  <c r="G105" i="7" s="1"/>
  <c r="G106" i="7" s="1"/>
  <c r="H31" i="8"/>
  <c r="E8" i="7"/>
  <c r="E52" i="6"/>
  <c r="D174" i="7"/>
  <c r="C50" i="22" s="1"/>
  <c r="E172" i="7"/>
  <c r="F161" i="7" s="1"/>
  <c r="E154" i="7"/>
  <c r="E156" i="7" s="1"/>
  <c r="F145" i="7" s="1"/>
  <c r="F153" i="7" s="1"/>
  <c r="H87" i="8"/>
  <c r="H76" i="8"/>
  <c r="E51" i="6"/>
  <c r="H64" i="8"/>
  <c r="E114" i="7"/>
  <c r="H149" i="7"/>
  <c r="H148" i="7"/>
  <c r="E84" i="19"/>
  <c r="E32" i="20" s="1"/>
  <c r="G22" i="25" s="1"/>
  <c r="G23" i="25" s="1"/>
  <c r="H133" i="7"/>
  <c r="F13" i="22"/>
  <c r="H132" i="7"/>
  <c r="E131" i="7"/>
  <c r="C48" i="22"/>
  <c r="H116" i="7"/>
  <c r="H117" i="7"/>
  <c r="F124" i="7"/>
  <c r="H49" i="8"/>
  <c r="E15" i="17"/>
  <c r="E26" i="17" s="1"/>
  <c r="E42" i="21" s="1"/>
  <c r="E104" i="6"/>
  <c r="D41" i="17"/>
  <c r="F10" i="25" s="1"/>
  <c r="F11" i="25" s="1"/>
  <c r="E10" i="13"/>
  <c r="E9" i="16"/>
  <c r="E14" i="7"/>
  <c r="F105" i="7"/>
  <c r="F106" i="7" s="1"/>
  <c r="G150" i="7"/>
  <c r="G134" i="7"/>
  <c r="G135" i="7" s="1"/>
  <c r="G136" i="7" s="1"/>
  <c r="F135" i="7"/>
  <c r="F136" i="7" s="1"/>
  <c r="F151" i="7"/>
  <c r="F152" i="7" s="1"/>
  <c r="F121" i="7"/>
  <c r="E15" i="7"/>
  <c r="D80" i="22" s="1"/>
  <c r="D77" i="22" s="1"/>
  <c r="E115" i="7"/>
  <c r="C53" i="22"/>
  <c r="I21" i="6"/>
  <c r="H55" i="11" s="1"/>
  <c r="I17" i="26"/>
  <c r="J14" i="6" s="1"/>
  <c r="I10" i="26"/>
  <c r="J11" i="6" s="1"/>
  <c r="G60" i="11"/>
  <c r="G61" i="11" s="1"/>
  <c r="G17" i="15" s="1"/>
  <c r="G29" i="5"/>
  <c r="F94" i="19" s="1"/>
  <c r="F93" i="19" s="1"/>
  <c r="F113" i="19"/>
  <c r="F112" i="19" s="1"/>
  <c r="F75" i="12"/>
  <c r="H71" i="11"/>
  <c r="H28" i="13"/>
  <c r="H21" i="16"/>
  <c r="I92" i="11"/>
  <c r="J91" i="11" s="1"/>
  <c r="J10" i="10"/>
  <c r="I107" i="19"/>
  <c r="G177" i="7"/>
  <c r="I57" i="11"/>
  <c r="H43" i="11"/>
  <c r="H44" i="11" s="1"/>
  <c r="H14" i="15" s="1"/>
  <c r="I41" i="11"/>
  <c r="I48" i="11"/>
  <c r="H50" i="11"/>
  <c r="H74" i="12" s="1"/>
  <c r="J86" i="6"/>
  <c r="B44" i="15"/>
  <c r="C42" i="15" s="1"/>
  <c r="B15" i="10"/>
  <c r="H73" i="11"/>
  <c r="H14" i="14"/>
  <c r="H66" i="11"/>
  <c r="H13" i="14"/>
  <c r="H73" i="12" s="1"/>
  <c r="H113" i="10"/>
  <c r="I82" i="10"/>
  <c r="J81" i="10"/>
  <c r="G51" i="11"/>
  <c r="G15" i="15" s="1"/>
  <c r="G74" i="11"/>
  <c r="G75" i="11" s="1"/>
  <c r="G20" i="15" s="1"/>
  <c r="H72" i="11"/>
  <c r="G67" i="11"/>
  <c r="G68" i="11" s="1"/>
  <c r="G18" i="15" s="1"/>
  <c r="H65" i="11"/>
  <c r="J16" i="12"/>
  <c r="I42" i="11"/>
  <c r="I34" i="21"/>
  <c r="I19" i="18"/>
  <c r="I31" i="18" s="1"/>
  <c r="I33" i="18" s="1"/>
  <c r="I61" i="10"/>
  <c r="H35" i="21"/>
  <c r="H31" i="21" s="1"/>
  <c r="J30" i="25" s="1"/>
  <c r="J31" i="25" s="1"/>
  <c r="H59" i="11"/>
  <c r="H35" i="14"/>
  <c r="J69" i="10"/>
  <c r="I18" i="11"/>
  <c r="J17" i="11" s="1"/>
  <c r="I52" i="12"/>
  <c r="J110" i="10"/>
  <c r="I111" i="10"/>
  <c r="I107" i="10"/>
  <c r="I57" i="19"/>
  <c r="I23" i="21"/>
  <c r="G76" i="12"/>
  <c r="H58" i="11"/>
  <c r="K37" i="5"/>
  <c r="L35" i="5"/>
  <c r="I56" i="11"/>
  <c r="I41" i="14"/>
  <c r="I42" i="14" s="1"/>
  <c r="I38" i="12"/>
  <c r="I49" i="11"/>
  <c r="J74" i="10"/>
  <c r="H31" i="10"/>
  <c r="H58" i="19"/>
  <c r="H25" i="21"/>
  <c r="I34" i="12"/>
  <c r="H96" i="19"/>
  <c r="G88" i="19"/>
  <c r="H19" i="11"/>
  <c r="G21" i="11"/>
  <c r="G22" i="11" s="1"/>
  <c r="G11" i="15" s="1"/>
  <c r="H92" i="10"/>
  <c r="G16" i="21"/>
  <c r="G52" i="19"/>
  <c r="H68" i="10"/>
  <c r="H98" i="19"/>
  <c r="G90" i="19"/>
  <c r="G27" i="11"/>
  <c r="J34" i="8"/>
  <c r="J48" i="8" s="1"/>
  <c r="H14" i="22" s="1"/>
  <c r="G26" i="11"/>
  <c r="F87" i="19"/>
  <c r="G89" i="19"/>
  <c r="H97" i="19"/>
  <c r="F44" i="14"/>
  <c r="F21" i="21"/>
  <c r="F20" i="21" s="1"/>
  <c r="F55" i="19"/>
  <c r="F54" i="19" s="1"/>
  <c r="J67" i="8"/>
  <c r="J75" i="8" s="1"/>
  <c r="H16" i="22" s="1"/>
  <c r="H88" i="10"/>
  <c r="H99" i="19"/>
  <c r="G91" i="19"/>
  <c r="G11" i="7"/>
  <c r="G29" i="17"/>
  <c r="J102" i="8"/>
  <c r="G32" i="17"/>
  <c r="F39" i="17"/>
  <c r="J79" i="8"/>
  <c r="G31" i="17"/>
  <c r="H12" i="16"/>
  <c r="H19" i="16"/>
  <c r="C20" i="16"/>
  <c r="F99" i="10"/>
  <c r="F98" i="10" s="1"/>
  <c r="F20" i="14"/>
  <c r="H13" i="13"/>
  <c r="F99" i="7"/>
  <c r="F129" i="7"/>
  <c r="H20" i="5"/>
  <c r="J25" i="8"/>
  <c r="I28" i="8"/>
  <c r="E109" i="7"/>
  <c r="F100" i="7" s="1"/>
  <c r="E16" i="7"/>
  <c r="D83" i="22" s="1"/>
  <c r="J97" i="8"/>
  <c r="K97" i="8" s="1"/>
  <c r="I104" i="8"/>
  <c r="H25" i="13"/>
  <c r="J66" i="8"/>
  <c r="J74" i="8" s="1"/>
  <c r="I73" i="8"/>
  <c r="I76" i="8" s="1"/>
  <c r="E194" i="7"/>
  <c r="D20" i="7"/>
  <c r="C52" i="22"/>
  <c r="J51" i="8"/>
  <c r="J62" i="8" s="1"/>
  <c r="I61" i="8"/>
  <c r="I64" i="8" s="1"/>
  <c r="I84" i="8"/>
  <c r="J78" i="8"/>
  <c r="I77" i="5"/>
  <c r="H95" i="19" s="1"/>
  <c r="H12" i="12"/>
  <c r="H20" i="11" s="1"/>
  <c r="G17" i="12"/>
  <c r="G33" i="14" s="1"/>
  <c r="G36" i="14" s="1"/>
  <c r="H15" i="5"/>
  <c r="I12" i="5"/>
  <c r="C26" i="13"/>
  <c r="C70" i="19" s="1"/>
  <c r="H87" i="10"/>
  <c r="G89" i="10"/>
  <c r="H67" i="10"/>
  <c r="G11" i="11"/>
  <c r="J33" i="8"/>
  <c r="J47" i="8" s="1"/>
  <c r="I46" i="8"/>
  <c r="F12" i="11"/>
  <c r="J39" i="6"/>
  <c r="I64" i="11" s="1"/>
  <c r="K86" i="5"/>
  <c r="J94" i="5"/>
  <c r="I47" i="11" s="1"/>
  <c r="J69" i="5"/>
  <c r="J71" i="5" s="1"/>
  <c r="K50" i="5"/>
  <c r="F39" i="7"/>
  <c r="I45" i="7"/>
  <c r="I46" i="7" s="1"/>
  <c r="I45" i="6" s="1"/>
  <c r="F202" i="7" l="1"/>
  <c r="H60" i="11"/>
  <c r="E112" i="6"/>
  <c r="D68" i="12" s="1"/>
  <c r="D94" i="11"/>
  <c r="H10" i="16"/>
  <c r="H16" i="11"/>
  <c r="D29" i="13"/>
  <c r="D69" i="19" s="1"/>
  <c r="J63" i="8"/>
  <c r="H15" i="22" s="1"/>
  <c r="L52" i="8"/>
  <c r="D104" i="6"/>
  <c r="F13" i="7"/>
  <c r="H15" i="13"/>
  <c r="H68" i="19" s="1"/>
  <c r="I59" i="22"/>
  <c r="I61" i="22" s="1"/>
  <c r="I57" i="22" s="1"/>
  <c r="I20" i="23" s="1"/>
  <c r="K38" i="25" s="1"/>
  <c r="K39" i="25" s="1"/>
  <c r="L36" i="22"/>
  <c r="K36" i="22"/>
  <c r="L63" i="22"/>
  <c r="K63" i="22"/>
  <c r="I31" i="8"/>
  <c r="D15" i="7"/>
  <c r="C80" i="22" s="1"/>
  <c r="C77" i="22" s="1"/>
  <c r="C74" i="22" s="1"/>
  <c r="C24" i="23" s="1"/>
  <c r="E40" i="25" s="1"/>
  <c r="E41" i="25" s="1"/>
  <c r="J153" i="5"/>
  <c r="I26" i="16" s="1"/>
  <c r="K104" i="5"/>
  <c r="L100" i="5"/>
  <c r="K126" i="5"/>
  <c r="L122" i="5"/>
  <c r="L40" i="5"/>
  <c r="K47" i="5"/>
  <c r="L109" i="5"/>
  <c r="K116" i="5"/>
  <c r="I25" i="19"/>
  <c r="I17" i="19"/>
  <c r="I36" i="19"/>
  <c r="H34" i="11"/>
  <c r="H38" i="11" s="1"/>
  <c r="H13" i="15" s="1"/>
  <c r="H14" i="13"/>
  <c r="H13" i="16"/>
  <c r="I18" i="19"/>
  <c r="I26" i="19"/>
  <c r="I37" i="11"/>
  <c r="J35" i="11"/>
  <c r="K137" i="5"/>
  <c r="L135" i="5"/>
  <c r="L25" i="5"/>
  <c r="K27" i="5"/>
  <c r="L148" i="5"/>
  <c r="K151" i="5"/>
  <c r="K75" i="10"/>
  <c r="J36" i="11"/>
  <c r="J128" i="5"/>
  <c r="I37" i="19"/>
  <c r="D23" i="7"/>
  <c r="I107" i="8"/>
  <c r="J106" i="8"/>
  <c r="F20" i="22"/>
  <c r="J86" i="8"/>
  <c r="H17" i="16"/>
  <c r="F204" i="7"/>
  <c r="G193" i="7" s="1"/>
  <c r="G202" i="7" s="1"/>
  <c r="G21" i="17"/>
  <c r="G24" i="17" s="1"/>
  <c r="J30" i="8"/>
  <c r="I103" i="7" s="1"/>
  <c r="G12" i="7"/>
  <c r="F78" i="22" s="1"/>
  <c r="F51" i="6"/>
  <c r="E25" i="22"/>
  <c r="F54" i="6"/>
  <c r="E28" i="22"/>
  <c r="G10" i="17"/>
  <c r="F48" i="6"/>
  <c r="E23" i="22"/>
  <c r="G9" i="17"/>
  <c r="H118" i="7"/>
  <c r="H119" i="7" s="1"/>
  <c r="H120" i="7" s="1"/>
  <c r="G14" i="17"/>
  <c r="G198" i="7"/>
  <c r="G199" i="7" s="1"/>
  <c r="G200" i="7" s="1"/>
  <c r="H165" i="7"/>
  <c r="G11" i="17" s="1"/>
  <c r="G17" i="22"/>
  <c r="H197" i="7"/>
  <c r="G13" i="17" s="1"/>
  <c r="G19" i="22"/>
  <c r="E203" i="7"/>
  <c r="E205" i="7" s="1"/>
  <c r="E206" i="7" s="1"/>
  <c r="F178" i="7"/>
  <c r="E190" i="7"/>
  <c r="E155" i="7"/>
  <c r="E157" i="7" s="1"/>
  <c r="F146" i="7" s="1"/>
  <c r="E123" i="7"/>
  <c r="F107" i="7"/>
  <c r="F47" i="6" s="1"/>
  <c r="F108" i="7"/>
  <c r="E17" i="7"/>
  <c r="E19" i="7"/>
  <c r="E163" i="7"/>
  <c r="G185" i="7"/>
  <c r="G186" i="7"/>
  <c r="G188" i="7" s="1"/>
  <c r="F169" i="7"/>
  <c r="F170" i="7"/>
  <c r="F172" i="7" s="1"/>
  <c r="G161" i="7" s="1"/>
  <c r="G166" i="7"/>
  <c r="G167" i="7" s="1"/>
  <c r="G168" i="7" s="1"/>
  <c r="F154" i="7"/>
  <c r="F156" i="7" s="1"/>
  <c r="G145" i="7" s="1"/>
  <c r="I87" i="8"/>
  <c r="I149" i="7"/>
  <c r="I148" i="7"/>
  <c r="G13" i="22"/>
  <c r="I132" i="7"/>
  <c r="E142" i="7"/>
  <c r="F131" i="7" s="1"/>
  <c r="F138" i="7"/>
  <c r="F140" i="7" s="1"/>
  <c r="E41" i="17"/>
  <c r="G10" i="25" s="1"/>
  <c r="G11" i="25" s="1"/>
  <c r="I116" i="7"/>
  <c r="I117" i="7"/>
  <c r="F14" i="7"/>
  <c r="I49" i="8"/>
  <c r="D22" i="22"/>
  <c r="D9" i="22" s="1"/>
  <c r="D10" i="23" s="1"/>
  <c r="F34" i="25" s="1"/>
  <c r="F35" i="25" s="1"/>
  <c r="H61" i="11"/>
  <c r="H17" i="15" s="1"/>
  <c r="H104" i="7"/>
  <c r="F84" i="19"/>
  <c r="F32" i="20" s="1"/>
  <c r="H22" i="25" s="1"/>
  <c r="H23" i="25" s="1"/>
  <c r="F15" i="17"/>
  <c r="F26" i="17" s="1"/>
  <c r="F42" i="21" s="1"/>
  <c r="F104" i="6"/>
  <c r="E174" i="7"/>
  <c r="F163" i="7" s="1"/>
  <c r="E110" i="7"/>
  <c r="G151" i="7"/>
  <c r="H134" i="7"/>
  <c r="H150" i="7"/>
  <c r="F137" i="7"/>
  <c r="E24" i="22" s="1"/>
  <c r="D74" i="22"/>
  <c r="D24" i="23" s="1"/>
  <c r="F40" i="25" s="1"/>
  <c r="F41" i="25" s="1"/>
  <c r="C46" i="22"/>
  <c r="C32" i="22" s="1"/>
  <c r="C15" i="23" s="1"/>
  <c r="E36" i="25" s="1"/>
  <c r="E37" i="25" s="1"/>
  <c r="F15" i="7"/>
  <c r="E80" i="22" s="1"/>
  <c r="E77" i="22" s="1"/>
  <c r="H23" i="13"/>
  <c r="F9" i="11"/>
  <c r="F13" i="11" s="1"/>
  <c r="F10" i="15" s="1"/>
  <c r="J21" i="6"/>
  <c r="I55" i="11" s="1"/>
  <c r="J17" i="26"/>
  <c r="K14" i="6" s="1"/>
  <c r="F10" i="13"/>
  <c r="F9" i="16"/>
  <c r="J10" i="26"/>
  <c r="K11" i="6" s="1"/>
  <c r="H29" i="5"/>
  <c r="G94" i="19" s="1"/>
  <c r="G93" i="19" s="1"/>
  <c r="G75" i="12"/>
  <c r="G113" i="19"/>
  <c r="G112" i="19" s="1"/>
  <c r="K110" i="10"/>
  <c r="J111" i="10"/>
  <c r="I35" i="21"/>
  <c r="I31" i="21" s="1"/>
  <c r="K30" i="25" s="1"/>
  <c r="K31" i="25" s="1"/>
  <c r="I59" i="11"/>
  <c r="I35" i="14"/>
  <c r="I66" i="11"/>
  <c r="I13" i="14"/>
  <c r="I73" i="12" s="1"/>
  <c r="I113" i="10"/>
  <c r="J52" i="12"/>
  <c r="I31" i="10"/>
  <c r="I43" i="11"/>
  <c r="I44" i="11" s="1"/>
  <c r="I14" i="15" s="1"/>
  <c r="J41" i="11"/>
  <c r="J82" i="10"/>
  <c r="K81" i="10"/>
  <c r="I65" i="11"/>
  <c r="H67" i="11"/>
  <c r="H68" i="11" s="1"/>
  <c r="H18" i="15" s="1"/>
  <c r="B61" i="12"/>
  <c r="H51" i="11"/>
  <c r="H15" i="15" s="1"/>
  <c r="B10" i="14"/>
  <c r="B21" i="10"/>
  <c r="B23" i="10" s="1"/>
  <c r="B27" i="10" s="1"/>
  <c r="B59" i="12"/>
  <c r="B108" i="19"/>
  <c r="E58" i="6"/>
  <c r="D88" i="11" s="1"/>
  <c r="J34" i="12"/>
  <c r="L37" i="5"/>
  <c r="M35" i="5"/>
  <c r="M37" i="5" s="1"/>
  <c r="J107" i="10"/>
  <c r="I58" i="19"/>
  <c r="I25" i="21"/>
  <c r="H76" i="12"/>
  <c r="I58" i="11"/>
  <c r="K86" i="6"/>
  <c r="J56" i="11"/>
  <c r="J92" i="11"/>
  <c r="K91" i="11" s="1"/>
  <c r="J48" i="11"/>
  <c r="I50" i="11"/>
  <c r="I74" i="12" s="1"/>
  <c r="J57" i="19"/>
  <c r="J23" i="21"/>
  <c r="K69" i="10"/>
  <c r="J18" i="11"/>
  <c r="K17" i="11" s="1"/>
  <c r="J34" i="21"/>
  <c r="J19" i="18"/>
  <c r="J31" i="18" s="1"/>
  <c r="J33" i="18" s="1"/>
  <c r="J61" i="10"/>
  <c r="J49" i="11"/>
  <c r="K74" i="10"/>
  <c r="J41" i="14"/>
  <c r="J42" i="14" s="1"/>
  <c r="J38" i="12"/>
  <c r="I73" i="11"/>
  <c r="I14" i="14"/>
  <c r="K16" i="12"/>
  <c r="J42" i="11"/>
  <c r="H74" i="11"/>
  <c r="H75" i="11" s="1"/>
  <c r="H20" i="15" s="1"/>
  <c r="I72" i="11"/>
  <c r="I71" i="11"/>
  <c r="I28" i="13"/>
  <c r="I21" i="16"/>
  <c r="J57" i="11"/>
  <c r="K10" i="10"/>
  <c r="J107" i="19"/>
  <c r="C67" i="12"/>
  <c r="I19" i="11"/>
  <c r="H21" i="11"/>
  <c r="H26" i="11"/>
  <c r="I96" i="19"/>
  <c r="H88" i="19"/>
  <c r="K63" i="8"/>
  <c r="I15" i="22" s="1"/>
  <c r="I92" i="10"/>
  <c r="H16" i="21"/>
  <c r="H52" i="19"/>
  <c r="G87" i="19"/>
  <c r="I97" i="19"/>
  <c r="H89" i="19"/>
  <c r="G44" i="14"/>
  <c r="G21" i="21"/>
  <c r="G20" i="21" s="1"/>
  <c r="G55" i="19"/>
  <c r="G54" i="19" s="1"/>
  <c r="I88" i="10"/>
  <c r="I99" i="19"/>
  <c r="H91" i="19"/>
  <c r="K67" i="8"/>
  <c r="K75" i="8" s="1"/>
  <c r="I16" i="22" s="1"/>
  <c r="K34" i="8"/>
  <c r="K48" i="8" s="1"/>
  <c r="I14" i="22" s="1"/>
  <c r="I68" i="10"/>
  <c r="I98" i="19"/>
  <c r="H90" i="19"/>
  <c r="H27" i="11"/>
  <c r="H29" i="17"/>
  <c r="K79" i="8"/>
  <c r="H31" i="17"/>
  <c r="K102" i="8"/>
  <c r="H32" i="17"/>
  <c r="G39" i="17"/>
  <c r="C30" i="16"/>
  <c r="C22" i="16"/>
  <c r="I10" i="16"/>
  <c r="I19" i="16"/>
  <c r="I12" i="16"/>
  <c r="G99" i="10"/>
  <c r="G98" i="10" s="1"/>
  <c r="G20" i="14"/>
  <c r="I67" i="10"/>
  <c r="H11" i="11"/>
  <c r="I10" i="11" s="1"/>
  <c r="I12" i="12"/>
  <c r="I20" i="11" s="1"/>
  <c r="H17" i="12"/>
  <c r="H33" i="14" s="1"/>
  <c r="H36" i="14" s="1"/>
  <c r="H11" i="7"/>
  <c r="I20" i="5"/>
  <c r="J84" i="8"/>
  <c r="K78" i="8"/>
  <c r="E9" i="7"/>
  <c r="K33" i="8"/>
  <c r="K47" i="8" s="1"/>
  <c r="J46" i="8"/>
  <c r="E195" i="7"/>
  <c r="D21" i="7"/>
  <c r="J104" i="8"/>
  <c r="K25" i="8"/>
  <c r="J28" i="8"/>
  <c r="H10" i="11"/>
  <c r="G12" i="11"/>
  <c r="I11" i="13"/>
  <c r="I16" i="11"/>
  <c r="I25" i="13"/>
  <c r="I13" i="13"/>
  <c r="I87" i="10"/>
  <c r="H89" i="10"/>
  <c r="J12" i="5"/>
  <c r="I15" i="5"/>
  <c r="J77" i="5"/>
  <c r="I95" i="19" s="1"/>
  <c r="K51" i="8"/>
  <c r="K62" i="8" s="1"/>
  <c r="J61" i="8"/>
  <c r="K66" i="8"/>
  <c r="K74" i="8" s="1"/>
  <c r="J73" i="8"/>
  <c r="G113" i="7"/>
  <c r="G122" i="7" s="1"/>
  <c r="F8" i="7"/>
  <c r="L86" i="5"/>
  <c r="K94" i="5"/>
  <c r="J47" i="11" s="1"/>
  <c r="L50" i="5"/>
  <c r="K69" i="5"/>
  <c r="K39" i="6"/>
  <c r="J64" i="11" s="1"/>
  <c r="J45" i="7"/>
  <c r="J46" i="7" s="1"/>
  <c r="J45" i="6" s="1"/>
  <c r="F40" i="7"/>
  <c r="F48" i="7"/>
  <c r="F49" i="7" s="1"/>
  <c r="K71" i="5" l="1"/>
  <c r="H22" i="11"/>
  <c r="H11" i="15" s="1"/>
  <c r="I133" i="7"/>
  <c r="D112" i="6"/>
  <c r="C68" i="12" s="1"/>
  <c r="C94" i="11"/>
  <c r="F112" i="6"/>
  <c r="E68" i="12" s="1"/>
  <c r="E94" i="11"/>
  <c r="K106" i="8"/>
  <c r="K86" i="8"/>
  <c r="H12" i="11"/>
  <c r="K21" i="6"/>
  <c r="J55" i="11" s="1"/>
  <c r="J59" i="22"/>
  <c r="J61" i="22" s="1"/>
  <c r="J57" i="22" s="1"/>
  <c r="J20" i="23" s="1"/>
  <c r="L38" i="25" s="1"/>
  <c r="L39" i="25" s="1"/>
  <c r="K153" i="5"/>
  <c r="J26" i="16" s="1"/>
  <c r="I15" i="13"/>
  <c r="I68" i="19" s="1"/>
  <c r="H9" i="17"/>
  <c r="J26" i="19"/>
  <c r="J18" i="19"/>
  <c r="M40" i="5"/>
  <c r="M47" i="5" s="1"/>
  <c r="L47" i="5"/>
  <c r="M100" i="5"/>
  <c r="L104" i="5"/>
  <c r="I34" i="11"/>
  <c r="I38" i="11" s="1"/>
  <c r="I13" i="15" s="1"/>
  <c r="I14" i="13"/>
  <c r="I13" i="16"/>
  <c r="M148" i="5"/>
  <c r="M151" i="5" s="1"/>
  <c r="L151" i="5"/>
  <c r="L137" i="5"/>
  <c r="M135" i="5"/>
  <c r="M122" i="5"/>
  <c r="M126" i="5" s="1"/>
  <c r="L37" i="19" s="1"/>
  <c r="L126" i="5"/>
  <c r="K37" i="19" s="1"/>
  <c r="J36" i="19"/>
  <c r="K35" i="11"/>
  <c r="J37" i="11"/>
  <c r="J25" i="19"/>
  <c r="J17" i="19"/>
  <c r="M109" i="5"/>
  <c r="M116" i="5" s="1"/>
  <c r="L116" i="5"/>
  <c r="J37" i="19"/>
  <c r="L75" i="10"/>
  <c r="L36" i="11" s="1"/>
  <c r="K36" i="11"/>
  <c r="M25" i="5"/>
  <c r="M27" i="5" s="1"/>
  <c r="L27" i="5"/>
  <c r="K128" i="5"/>
  <c r="J31" i="8"/>
  <c r="G201" i="7"/>
  <c r="F28" i="22" s="1"/>
  <c r="H21" i="17"/>
  <c r="H24" i="17" s="1"/>
  <c r="H12" i="7"/>
  <c r="G78" i="22" s="1"/>
  <c r="K30" i="8"/>
  <c r="J103" i="7" s="1"/>
  <c r="G204" i="7"/>
  <c r="H193" i="7" s="1"/>
  <c r="H201" i="7" s="1"/>
  <c r="E22" i="7"/>
  <c r="H166" i="7"/>
  <c r="H167" i="7" s="1"/>
  <c r="H168" i="7" s="1"/>
  <c r="I118" i="7"/>
  <c r="I119" i="7" s="1"/>
  <c r="I120" i="7" s="1"/>
  <c r="H14" i="17"/>
  <c r="G53" i="6"/>
  <c r="F27" i="22"/>
  <c r="H10" i="17"/>
  <c r="F52" i="6"/>
  <c r="E26" i="22"/>
  <c r="H198" i="7"/>
  <c r="H199" i="7" s="1"/>
  <c r="H200" i="7" s="1"/>
  <c r="I165" i="7"/>
  <c r="H11" i="17" s="1"/>
  <c r="H17" i="22"/>
  <c r="G20" i="22"/>
  <c r="I197" i="7"/>
  <c r="H13" i="17" s="1"/>
  <c r="H19" i="22"/>
  <c r="J107" i="8"/>
  <c r="E125" i="7"/>
  <c r="E126" i="7" s="1"/>
  <c r="E18" i="7"/>
  <c r="D95" i="11" s="1"/>
  <c r="F179" i="7"/>
  <c r="D51" i="22"/>
  <c r="F187" i="7"/>
  <c r="F189" i="7" s="1"/>
  <c r="F171" i="7"/>
  <c r="F173" i="7" s="1"/>
  <c r="G162" i="7" s="1"/>
  <c r="F155" i="7"/>
  <c r="F157" i="7" s="1"/>
  <c r="F158" i="7" s="1"/>
  <c r="E158" i="7"/>
  <c r="F139" i="7"/>
  <c r="F141" i="7" s="1"/>
  <c r="G130" i="7" s="1"/>
  <c r="E10" i="7"/>
  <c r="D48" i="22"/>
  <c r="G84" i="19"/>
  <c r="G32" i="20" s="1"/>
  <c r="I22" i="25" s="1"/>
  <c r="I23" i="25" s="1"/>
  <c r="H13" i="22"/>
  <c r="G9" i="11"/>
  <c r="G13" i="11" s="1"/>
  <c r="G10" i="15" s="1"/>
  <c r="G13" i="7"/>
  <c r="G14" i="7"/>
  <c r="G169" i="7"/>
  <c r="G170" i="7"/>
  <c r="G172" i="7" s="1"/>
  <c r="J64" i="8"/>
  <c r="J87" i="8"/>
  <c r="J76" i="8"/>
  <c r="J149" i="7"/>
  <c r="J148" i="7"/>
  <c r="F41" i="17"/>
  <c r="H10" i="25" s="1"/>
  <c r="H11" i="25" s="1"/>
  <c r="G153" i="7"/>
  <c r="G154" i="7"/>
  <c r="G156" i="7" s="1"/>
  <c r="J132" i="7"/>
  <c r="J133" i="7"/>
  <c r="J116" i="7"/>
  <c r="J117" i="7"/>
  <c r="D50" i="22"/>
  <c r="G124" i="7"/>
  <c r="J49" i="8"/>
  <c r="G15" i="17"/>
  <c r="G26" i="17" s="1"/>
  <c r="G42" i="21" s="1"/>
  <c r="I104" i="7"/>
  <c r="F50" i="6"/>
  <c r="H105" i="7"/>
  <c r="H106" i="7" s="1"/>
  <c r="H135" i="7"/>
  <c r="H136" i="7" s="1"/>
  <c r="G152" i="7"/>
  <c r="G104" i="6" s="1"/>
  <c r="H151" i="7"/>
  <c r="H152" i="7" s="1"/>
  <c r="I134" i="7"/>
  <c r="I150" i="7"/>
  <c r="G121" i="7"/>
  <c r="I29" i="5"/>
  <c r="H94" i="19" s="1"/>
  <c r="H93" i="19" s="1"/>
  <c r="D26" i="13"/>
  <c r="I23" i="13"/>
  <c r="I17" i="16"/>
  <c r="I60" i="11"/>
  <c r="I61" i="11" s="1"/>
  <c r="I17" i="15" s="1"/>
  <c r="L17" i="26"/>
  <c r="M14" i="6" s="1"/>
  <c r="K17" i="26"/>
  <c r="L14" i="6" s="1"/>
  <c r="D20" i="16"/>
  <c r="D22" i="16" s="1"/>
  <c r="G10" i="13"/>
  <c r="G9" i="16"/>
  <c r="K10" i="26"/>
  <c r="L11" i="6" s="1"/>
  <c r="I51" i="11"/>
  <c r="I15" i="15" s="1"/>
  <c r="H113" i="19"/>
  <c r="H112" i="19" s="1"/>
  <c r="K56" i="11"/>
  <c r="J35" i="21"/>
  <c r="J31" i="21" s="1"/>
  <c r="L30" i="25" s="1"/>
  <c r="L31" i="25" s="1"/>
  <c r="J59" i="11"/>
  <c r="J35" i="14"/>
  <c r="H75" i="12"/>
  <c r="K57" i="11"/>
  <c r="L16" i="12"/>
  <c r="K42" i="11"/>
  <c r="J50" i="11"/>
  <c r="J74" i="12" s="1"/>
  <c r="K48" i="11"/>
  <c r="K34" i="21"/>
  <c r="K19" i="18"/>
  <c r="K31" i="18" s="1"/>
  <c r="K33" i="18" s="1"/>
  <c r="K61" i="10"/>
  <c r="K107" i="10"/>
  <c r="K34" i="12"/>
  <c r="H177" i="7"/>
  <c r="J25" i="21"/>
  <c r="J58" i="19"/>
  <c r="J73" i="11"/>
  <c r="J14" i="14"/>
  <c r="K49" i="11"/>
  <c r="L74" i="10"/>
  <c r="L49" i="11" s="1"/>
  <c r="J66" i="11"/>
  <c r="J13" i="14"/>
  <c r="J73" i="12" s="1"/>
  <c r="J113" i="10"/>
  <c r="I67" i="11"/>
  <c r="I68" i="11" s="1"/>
  <c r="I18" i="15" s="1"/>
  <c r="J65" i="11"/>
  <c r="J31" i="10"/>
  <c r="K57" i="19"/>
  <c r="K23" i="21"/>
  <c r="K92" i="11"/>
  <c r="L91" i="11" s="1"/>
  <c r="L86" i="6"/>
  <c r="L81" i="10"/>
  <c r="L82" i="10" s="1"/>
  <c r="K82" i="10"/>
  <c r="I76" i="12"/>
  <c r="J58" i="11"/>
  <c r="L110" i="10"/>
  <c r="L111" i="10" s="1"/>
  <c r="K111" i="10"/>
  <c r="I74" i="11"/>
  <c r="I75" i="11" s="1"/>
  <c r="I20" i="15" s="1"/>
  <c r="J72" i="11"/>
  <c r="B18" i="10"/>
  <c r="B109" i="19" s="1"/>
  <c r="B106" i="19" s="1"/>
  <c r="B103" i="19" s="1"/>
  <c r="B37" i="20" s="1"/>
  <c r="D24" i="25" s="1"/>
  <c r="D25" i="25" s="1"/>
  <c r="C21" i="10"/>
  <c r="B11" i="14"/>
  <c r="B16" i="14" s="1"/>
  <c r="K52" i="12"/>
  <c r="L10" i="10"/>
  <c r="L107" i="19" s="1"/>
  <c r="K107" i="19"/>
  <c r="K41" i="11"/>
  <c r="J43" i="11"/>
  <c r="J44" i="11" s="1"/>
  <c r="J14" i="15" s="1"/>
  <c r="K38" i="12"/>
  <c r="K41" i="14"/>
  <c r="K42" i="14" s="1"/>
  <c r="L69" i="10"/>
  <c r="L18" i="11" s="1"/>
  <c r="K18" i="11"/>
  <c r="L17" i="11" s="1"/>
  <c r="J71" i="11"/>
  <c r="J21" i="16"/>
  <c r="J28" i="13"/>
  <c r="B62" i="12"/>
  <c r="J97" i="19"/>
  <c r="I89" i="19"/>
  <c r="F101" i="7"/>
  <c r="J19" i="11"/>
  <c r="I21" i="11"/>
  <c r="I22" i="11" s="1"/>
  <c r="I11" i="15" s="1"/>
  <c r="H39" i="17"/>
  <c r="L34" i="8"/>
  <c r="L48" i="8" s="1"/>
  <c r="J14" i="22" s="1"/>
  <c r="J92" i="10"/>
  <c r="I16" i="21"/>
  <c r="I52" i="19"/>
  <c r="L63" i="8"/>
  <c r="J15" i="22" s="1"/>
  <c r="C22" i="14"/>
  <c r="C27" i="14" s="1"/>
  <c r="C90" i="11"/>
  <c r="I88" i="19"/>
  <c r="J96" i="19"/>
  <c r="J88" i="10"/>
  <c r="J99" i="19"/>
  <c r="I91" i="19"/>
  <c r="J68" i="10"/>
  <c r="J98" i="19"/>
  <c r="I90" i="19"/>
  <c r="I27" i="11"/>
  <c r="L67" i="8"/>
  <c r="L75" i="8" s="1"/>
  <c r="J16" i="22" s="1"/>
  <c r="H87" i="19"/>
  <c r="H44" i="14"/>
  <c r="H21" i="21"/>
  <c r="H20" i="21" s="1"/>
  <c r="H55" i="19"/>
  <c r="H54" i="19" s="1"/>
  <c r="I26" i="11"/>
  <c r="I29" i="17"/>
  <c r="L79" i="8"/>
  <c r="I31" i="17"/>
  <c r="L102" i="8"/>
  <c r="I32" i="17"/>
  <c r="J19" i="16"/>
  <c r="J10" i="16"/>
  <c r="J12" i="16"/>
  <c r="H99" i="10"/>
  <c r="H98" i="10" s="1"/>
  <c r="H20" i="14"/>
  <c r="F17" i="7"/>
  <c r="J87" i="10"/>
  <c r="I89" i="10"/>
  <c r="F194" i="7"/>
  <c r="D52" i="22"/>
  <c r="G99" i="7"/>
  <c r="L51" i="8"/>
  <c r="L62" i="8" s="1"/>
  <c r="K61" i="8"/>
  <c r="J25" i="13"/>
  <c r="L66" i="8"/>
  <c r="L74" i="8" s="1"/>
  <c r="K73" i="8"/>
  <c r="K76" i="8" s="1"/>
  <c r="K77" i="5"/>
  <c r="J95" i="19" s="1"/>
  <c r="I11" i="7"/>
  <c r="L33" i="8"/>
  <c r="L47" i="8" s="1"/>
  <c r="K46" i="8"/>
  <c r="K84" i="8"/>
  <c r="L78" i="8"/>
  <c r="J67" i="10"/>
  <c r="I11" i="11"/>
  <c r="L97" i="8"/>
  <c r="K104" i="8"/>
  <c r="J11" i="13"/>
  <c r="J16" i="11"/>
  <c r="J13" i="13"/>
  <c r="F16" i="7"/>
  <c r="J15" i="5"/>
  <c r="K12" i="5"/>
  <c r="F109" i="7"/>
  <c r="G100" i="7" s="1"/>
  <c r="L25" i="8"/>
  <c r="K28" i="8"/>
  <c r="J20" i="5"/>
  <c r="J12" i="12"/>
  <c r="J20" i="11" s="1"/>
  <c r="I17" i="12"/>
  <c r="I33" i="14" s="1"/>
  <c r="I36" i="14" s="1"/>
  <c r="L39" i="6"/>
  <c r="K64" i="11" s="1"/>
  <c r="M50" i="5"/>
  <c r="L69" i="5"/>
  <c r="M86" i="5"/>
  <c r="M94" i="5" s="1"/>
  <c r="L47" i="11" s="1"/>
  <c r="L94" i="5"/>
  <c r="K47" i="11" s="1"/>
  <c r="K45" i="7"/>
  <c r="K46" i="7" s="1"/>
  <c r="K45" i="6" s="1"/>
  <c r="G39" i="7"/>
  <c r="L52" i="12" l="1"/>
  <c r="L34" i="12"/>
  <c r="L57" i="11"/>
  <c r="L92" i="11"/>
  <c r="L107" i="10"/>
  <c r="M86" i="6"/>
  <c r="M39" i="6"/>
  <c r="J17" i="16"/>
  <c r="E29" i="13"/>
  <c r="E69" i="19" s="1"/>
  <c r="C29" i="13"/>
  <c r="G112" i="6"/>
  <c r="F68" i="12" s="1"/>
  <c r="F94" i="11"/>
  <c r="J60" i="11"/>
  <c r="J61" i="11" s="1"/>
  <c r="J17" i="15" s="1"/>
  <c r="D50" i="14"/>
  <c r="J23" i="13"/>
  <c r="D30" i="13"/>
  <c r="D19" i="19" s="1"/>
  <c r="D70" i="19"/>
  <c r="L86" i="8"/>
  <c r="H202" i="7"/>
  <c r="H204" i="7" s="1"/>
  <c r="I193" i="7" s="1"/>
  <c r="G54" i="6"/>
  <c r="K59" i="22"/>
  <c r="K61" i="22" s="1"/>
  <c r="K57" i="22" s="1"/>
  <c r="K20" i="23" s="1"/>
  <c r="M38" i="25" s="1"/>
  <c r="M39" i="25" s="1"/>
  <c r="E20" i="7"/>
  <c r="E23" i="7" s="1"/>
  <c r="H13" i="7"/>
  <c r="J15" i="13"/>
  <c r="J68" i="19" s="1"/>
  <c r="L153" i="5"/>
  <c r="K26" i="16" s="1"/>
  <c r="L128" i="5"/>
  <c r="K14" i="13" s="1"/>
  <c r="L71" i="5"/>
  <c r="K16" i="11" s="1"/>
  <c r="J51" i="11"/>
  <c r="J15" i="15" s="1"/>
  <c r="J34" i="11"/>
  <c r="J38" i="11" s="1"/>
  <c r="J13" i="15" s="1"/>
  <c r="J13" i="16"/>
  <c r="J14" i="13"/>
  <c r="M137" i="5"/>
  <c r="K36" i="19"/>
  <c r="K25" i="19"/>
  <c r="K17" i="19"/>
  <c r="M104" i="5"/>
  <c r="M128" i="5" s="1"/>
  <c r="K18" i="19"/>
  <c r="K26" i="19"/>
  <c r="L35" i="11"/>
  <c r="L37" i="11" s="1"/>
  <c r="K37" i="11"/>
  <c r="L26" i="19"/>
  <c r="L18" i="19"/>
  <c r="L106" i="8"/>
  <c r="I21" i="17"/>
  <c r="I24" i="17" s="1"/>
  <c r="L30" i="8"/>
  <c r="K103" i="7" s="1"/>
  <c r="I12" i="7"/>
  <c r="H78" i="22" s="1"/>
  <c r="E83" i="22"/>
  <c r="E74" i="22" s="1"/>
  <c r="E24" i="23" s="1"/>
  <c r="G40" i="25" s="1"/>
  <c r="G41" i="25" s="1"/>
  <c r="J118" i="7"/>
  <c r="J119" i="7" s="1"/>
  <c r="J120" i="7" s="1"/>
  <c r="I14" i="17"/>
  <c r="I10" i="17"/>
  <c r="G48" i="6"/>
  <c r="F23" i="22"/>
  <c r="I198" i="7"/>
  <c r="I199" i="7" s="1"/>
  <c r="I200" i="7" s="1"/>
  <c r="G51" i="6"/>
  <c r="F25" i="22"/>
  <c r="G52" i="6"/>
  <c r="F26" i="22"/>
  <c r="H54" i="6"/>
  <c r="G28" i="22"/>
  <c r="I166" i="7"/>
  <c r="I9" i="17"/>
  <c r="F114" i="7"/>
  <c r="F123" i="7" s="1"/>
  <c r="J165" i="7"/>
  <c r="I11" i="17" s="1"/>
  <c r="I17" i="22"/>
  <c r="H20" i="22"/>
  <c r="K107" i="8"/>
  <c r="J197" i="7"/>
  <c r="I13" i="17" s="1"/>
  <c r="I19" i="22"/>
  <c r="F203" i="7"/>
  <c r="F205" i="7" s="1"/>
  <c r="F206" i="7" s="1"/>
  <c r="G178" i="7"/>
  <c r="F190" i="7"/>
  <c r="G171" i="7"/>
  <c r="G173" i="7" s="1"/>
  <c r="H162" i="7" s="1"/>
  <c r="D49" i="22"/>
  <c r="F147" i="7"/>
  <c r="G41" i="17"/>
  <c r="I10" i="25" s="1"/>
  <c r="I11" i="25" s="1"/>
  <c r="G146" i="7"/>
  <c r="E22" i="22"/>
  <c r="E9" i="22" s="1"/>
  <c r="E10" i="23" s="1"/>
  <c r="G34" i="25" s="1"/>
  <c r="G35" i="25" s="1"/>
  <c r="F174" i="7"/>
  <c r="G163" i="7" s="1"/>
  <c r="F115" i="7"/>
  <c r="D53" i="22"/>
  <c r="J104" i="7"/>
  <c r="J105" i="7" s="1"/>
  <c r="J106" i="7" s="1"/>
  <c r="K31" i="8"/>
  <c r="G107" i="7"/>
  <c r="G47" i="6" s="1"/>
  <c r="G108" i="7"/>
  <c r="H185" i="7"/>
  <c r="H186" i="7"/>
  <c r="H188" i="7" s="1"/>
  <c r="K87" i="8"/>
  <c r="K149" i="7"/>
  <c r="K148" i="7"/>
  <c r="K64" i="8"/>
  <c r="K132" i="7"/>
  <c r="I13" i="22"/>
  <c r="K133" i="7"/>
  <c r="G15" i="7"/>
  <c r="F80" i="22" s="1"/>
  <c r="F77" i="22" s="1"/>
  <c r="K117" i="7"/>
  <c r="K116" i="7"/>
  <c r="K49" i="8"/>
  <c r="H15" i="17"/>
  <c r="H26" i="17" s="1"/>
  <c r="H104" i="6"/>
  <c r="H9" i="11"/>
  <c r="H13" i="11" s="1"/>
  <c r="H10" i="15" s="1"/>
  <c r="H10" i="13"/>
  <c r="H9" i="16"/>
  <c r="H84" i="19"/>
  <c r="H32" i="20" s="1"/>
  <c r="J22" i="25" s="1"/>
  <c r="J23" i="25" s="1"/>
  <c r="I105" i="7"/>
  <c r="I106" i="7" s="1"/>
  <c r="F110" i="7"/>
  <c r="J150" i="7"/>
  <c r="H14" i="7"/>
  <c r="I167" i="7"/>
  <c r="I168" i="7" s="1"/>
  <c r="I135" i="7"/>
  <c r="I136" i="7" s="1"/>
  <c r="J134" i="7"/>
  <c r="I151" i="7"/>
  <c r="I152" i="7" s="1"/>
  <c r="F19" i="7"/>
  <c r="F22" i="7" s="1"/>
  <c r="F142" i="7"/>
  <c r="D67" i="12"/>
  <c r="H15" i="7"/>
  <c r="G80" i="22" s="1"/>
  <c r="G77" i="22" s="1"/>
  <c r="D30" i="16"/>
  <c r="L21" i="6"/>
  <c r="K55" i="11" s="1"/>
  <c r="L10" i="26"/>
  <c r="M11" i="6" s="1"/>
  <c r="I113" i="19"/>
  <c r="I112" i="19" s="1"/>
  <c r="D21" i="10"/>
  <c r="C11" i="14"/>
  <c r="D78" i="5"/>
  <c r="D81" i="5" s="1"/>
  <c r="C73" i="10"/>
  <c r="C18" i="10"/>
  <c r="C109" i="19" s="1"/>
  <c r="L66" i="11"/>
  <c r="L13" i="14"/>
  <c r="L113" i="10"/>
  <c r="L34" i="21"/>
  <c r="L19" i="18"/>
  <c r="L31" i="18" s="1"/>
  <c r="L33" i="18" s="1"/>
  <c r="L61" i="10"/>
  <c r="L41" i="14"/>
  <c r="L42" i="14" s="1"/>
  <c r="L38" i="12"/>
  <c r="L48" i="11"/>
  <c r="L50" i="11" s="1"/>
  <c r="K50" i="11"/>
  <c r="K74" i="12" s="1"/>
  <c r="K35" i="21"/>
  <c r="K31" i="21" s="1"/>
  <c r="M30" i="25" s="1"/>
  <c r="M31" i="25" s="1"/>
  <c r="K59" i="11"/>
  <c r="K35" i="14"/>
  <c r="K31" i="10"/>
  <c r="L42" i="11"/>
  <c r="K58" i="11"/>
  <c r="J76" i="12"/>
  <c r="L58" i="19"/>
  <c r="L25" i="21"/>
  <c r="K72" i="11"/>
  <c r="J74" i="11"/>
  <c r="J75" i="11" s="1"/>
  <c r="J20" i="15" s="1"/>
  <c r="I75" i="12"/>
  <c r="K73" i="11"/>
  <c r="K14" i="14"/>
  <c r="L23" i="21"/>
  <c r="L57" i="19"/>
  <c r="L35" i="14"/>
  <c r="L56" i="11"/>
  <c r="K71" i="11"/>
  <c r="K28" i="13"/>
  <c r="K21" i="16"/>
  <c r="K58" i="19"/>
  <c r="K25" i="21"/>
  <c r="B49" i="19"/>
  <c r="B48" i="19" s="1"/>
  <c r="B45" i="19" s="1"/>
  <c r="B21" i="20" s="1"/>
  <c r="D20" i="25" s="1"/>
  <c r="D21" i="25" s="1"/>
  <c r="B29" i="14"/>
  <c r="B46" i="14" s="1"/>
  <c r="B13" i="21"/>
  <c r="B12" i="21" s="1"/>
  <c r="B9" i="21" s="1"/>
  <c r="L73" i="11"/>
  <c r="L14" i="14"/>
  <c r="K65" i="11"/>
  <c r="J67" i="11"/>
  <c r="J68" i="11" s="1"/>
  <c r="J18" i="15" s="1"/>
  <c r="K66" i="11"/>
  <c r="K13" i="14"/>
  <c r="K73" i="12" s="1"/>
  <c r="K113" i="10"/>
  <c r="L41" i="11"/>
  <c r="K43" i="11"/>
  <c r="K44" i="11" s="1"/>
  <c r="K14" i="15" s="1"/>
  <c r="F58" i="6"/>
  <c r="E88" i="11" s="1"/>
  <c r="K97" i="19"/>
  <c r="J89" i="19"/>
  <c r="M34" i="8"/>
  <c r="M48" i="8" s="1"/>
  <c r="K14" i="22" s="1"/>
  <c r="M67" i="8"/>
  <c r="M75" i="8" s="1"/>
  <c r="K16" i="22" s="1"/>
  <c r="K68" i="10"/>
  <c r="K98" i="19"/>
  <c r="J90" i="19"/>
  <c r="J27" i="11"/>
  <c r="I87" i="19"/>
  <c r="K92" i="10"/>
  <c r="J16" i="21"/>
  <c r="J52" i="19"/>
  <c r="K19" i="11"/>
  <c r="J21" i="11"/>
  <c r="J22" i="11" s="1"/>
  <c r="J11" i="15" s="1"/>
  <c r="J29" i="17"/>
  <c r="K96" i="19"/>
  <c r="J88" i="19"/>
  <c r="J26" i="11"/>
  <c r="K88" i="10"/>
  <c r="K99" i="19"/>
  <c r="J91" i="19"/>
  <c r="M52" i="8"/>
  <c r="M63" i="8" s="1"/>
  <c r="K15" i="22" s="1"/>
  <c r="I44" i="14"/>
  <c r="I55" i="19"/>
  <c r="I54" i="19" s="1"/>
  <c r="I21" i="21"/>
  <c r="I20" i="21" s="1"/>
  <c r="G147" i="7"/>
  <c r="E49" i="22"/>
  <c r="C93" i="11"/>
  <c r="C96" i="11" s="1"/>
  <c r="C29" i="15" s="1"/>
  <c r="D89" i="11"/>
  <c r="J11" i="7"/>
  <c r="M102" i="8"/>
  <c r="J32" i="17"/>
  <c r="M79" i="8"/>
  <c r="J31" i="17"/>
  <c r="I39" i="17"/>
  <c r="K12" i="16"/>
  <c r="K19" i="16"/>
  <c r="L12" i="16"/>
  <c r="L19" i="16"/>
  <c r="I99" i="10"/>
  <c r="I98" i="10" s="1"/>
  <c r="I20" i="14"/>
  <c r="J29" i="5"/>
  <c r="I94" i="19" s="1"/>
  <c r="I93" i="19" s="1"/>
  <c r="H145" i="7"/>
  <c r="K67" i="10"/>
  <c r="J11" i="11"/>
  <c r="L84" i="8"/>
  <c r="M78" i="8"/>
  <c r="M51" i="8"/>
  <c r="M62" i="8" s="1"/>
  <c r="L61" i="8"/>
  <c r="K87" i="10"/>
  <c r="J89" i="10"/>
  <c r="M25" i="8"/>
  <c r="L28" i="8"/>
  <c r="M33" i="8"/>
  <c r="M47" i="8" s="1"/>
  <c r="L46" i="8"/>
  <c r="L77" i="5"/>
  <c r="K95" i="19" s="1"/>
  <c r="F195" i="7"/>
  <c r="E21" i="7"/>
  <c r="K13" i="13"/>
  <c r="K25" i="13"/>
  <c r="K12" i="12"/>
  <c r="K20" i="11" s="1"/>
  <c r="J17" i="12"/>
  <c r="J33" i="14" s="1"/>
  <c r="J36" i="14" s="1"/>
  <c r="M97" i="8"/>
  <c r="L104" i="8"/>
  <c r="L13" i="13"/>
  <c r="L25" i="13"/>
  <c r="K20" i="5"/>
  <c r="H161" i="7"/>
  <c r="G129" i="7"/>
  <c r="H113" i="7"/>
  <c r="H122" i="7" s="1"/>
  <c r="L12" i="5"/>
  <c r="K15" i="5"/>
  <c r="J10" i="11"/>
  <c r="I12" i="11"/>
  <c r="M66" i="8"/>
  <c r="M74" i="8" s="1"/>
  <c r="L73" i="8"/>
  <c r="M69" i="5"/>
  <c r="M71" i="5" s="1"/>
  <c r="G40" i="7"/>
  <c r="G48" i="7"/>
  <c r="G49" i="7" s="1"/>
  <c r="L45" i="7"/>
  <c r="L46" i="7" s="1"/>
  <c r="L45" i="6" s="1"/>
  <c r="L59" i="11" l="1"/>
  <c r="L28" i="13"/>
  <c r="L21" i="16"/>
  <c r="L71" i="11"/>
  <c r="L64" i="11"/>
  <c r="K15" i="13"/>
  <c r="K68" i="19" s="1"/>
  <c r="H112" i="6"/>
  <c r="G68" i="12" s="1"/>
  <c r="G94" i="11"/>
  <c r="F29" i="13"/>
  <c r="F69" i="19" s="1"/>
  <c r="C69" i="19"/>
  <c r="C30" i="13"/>
  <c r="C19" i="19" s="1"/>
  <c r="L107" i="8"/>
  <c r="K11" i="13"/>
  <c r="K10" i="16"/>
  <c r="M21" i="6"/>
  <c r="L59" i="22"/>
  <c r="L61" i="22" s="1"/>
  <c r="L57" i="22" s="1"/>
  <c r="L20" i="23" s="1"/>
  <c r="N38" i="25" s="1"/>
  <c r="N39" i="25" s="1"/>
  <c r="K13" i="16"/>
  <c r="L31" i="8"/>
  <c r="K34" i="11"/>
  <c r="K38" i="11" s="1"/>
  <c r="K13" i="15" s="1"/>
  <c r="L25" i="19"/>
  <c r="L17" i="19"/>
  <c r="L14" i="13"/>
  <c r="L13" i="16"/>
  <c r="L36" i="19"/>
  <c r="M153" i="5"/>
  <c r="M106" i="8"/>
  <c r="D46" i="22"/>
  <c r="D32" i="22" s="1"/>
  <c r="D15" i="23" s="1"/>
  <c r="F36" i="25" s="1"/>
  <c r="F37" i="25" s="1"/>
  <c r="J10" i="17"/>
  <c r="F9" i="7"/>
  <c r="F125" i="7"/>
  <c r="G114" i="7" s="1"/>
  <c r="J12" i="7"/>
  <c r="I78" i="22" s="1"/>
  <c r="J21" i="17"/>
  <c r="J24" i="17" s="1"/>
  <c r="I13" i="7"/>
  <c r="M86" i="8"/>
  <c r="J9" i="17"/>
  <c r="M30" i="8"/>
  <c r="L103" i="7" s="1"/>
  <c r="J166" i="7"/>
  <c r="H53" i="6"/>
  <c r="G27" i="22"/>
  <c r="J198" i="7"/>
  <c r="J199" i="7" s="1"/>
  <c r="J200" i="7" s="1"/>
  <c r="K118" i="7"/>
  <c r="K119" i="7" s="1"/>
  <c r="K120" i="7" s="1"/>
  <c r="J14" i="17"/>
  <c r="K165" i="7"/>
  <c r="J11" i="17" s="1"/>
  <c r="J17" i="22"/>
  <c r="F18" i="7"/>
  <c r="E95" i="11" s="1"/>
  <c r="K197" i="7"/>
  <c r="J13" i="17" s="1"/>
  <c r="J19" i="22"/>
  <c r="G109" i="7"/>
  <c r="H100" i="7" s="1"/>
  <c r="E51" i="22"/>
  <c r="G179" i="7"/>
  <c r="G187" i="7"/>
  <c r="G189" i="7" s="1"/>
  <c r="F10" i="7"/>
  <c r="G155" i="7"/>
  <c r="G157" i="7" s="1"/>
  <c r="E50" i="22"/>
  <c r="I202" i="7"/>
  <c r="I204" i="7" s="1"/>
  <c r="J193" i="7" s="1"/>
  <c r="H169" i="7"/>
  <c r="H170" i="7"/>
  <c r="H172" i="7" s="1"/>
  <c r="L87" i="8"/>
  <c r="L76" i="8"/>
  <c r="L64" i="8"/>
  <c r="I20" i="22"/>
  <c r="L149" i="7"/>
  <c r="L148" i="7"/>
  <c r="H153" i="7"/>
  <c r="H154" i="7"/>
  <c r="H156" i="7" s="1"/>
  <c r="L132" i="7"/>
  <c r="J13" i="22"/>
  <c r="L133" i="7"/>
  <c r="G138" i="7"/>
  <c r="G140" i="7" s="1"/>
  <c r="L117" i="7"/>
  <c r="L116" i="7"/>
  <c r="H124" i="7"/>
  <c r="L49" i="8"/>
  <c r="H42" i="21"/>
  <c r="H41" i="17"/>
  <c r="J10" i="25" s="1"/>
  <c r="J11" i="25" s="1"/>
  <c r="I104" i="6"/>
  <c r="K104" i="7"/>
  <c r="K105" i="7" s="1"/>
  <c r="K106" i="7" s="1"/>
  <c r="I15" i="17"/>
  <c r="I26" i="17" s="1"/>
  <c r="I42" i="21" s="1"/>
  <c r="I201" i="7"/>
  <c r="H28" i="22" s="1"/>
  <c r="K134" i="7"/>
  <c r="K135" i="7" s="1"/>
  <c r="K136" i="7" s="1"/>
  <c r="I14" i="7"/>
  <c r="J135" i="7"/>
  <c r="J136" i="7" s="1"/>
  <c r="K166" i="7"/>
  <c r="K167" i="7" s="1"/>
  <c r="K168" i="7" s="1"/>
  <c r="J151" i="7"/>
  <c r="J152" i="7" s="1"/>
  <c r="K150" i="7"/>
  <c r="G174" i="7"/>
  <c r="H163" i="7" s="1"/>
  <c r="G8" i="7"/>
  <c r="G137" i="7"/>
  <c r="H121" i="7"/>
  <c r="G23" i="22" s="1"/>
  <c r="I15" i="7"/>
  <c r="H80" i="22" s="1"/>
  <c r="H77" i="22" s="1"/>
  <c r="K23" i="13"/>
  <c r="K17" i="16"/>
  <c r="K29" i="5"/>
  <c r="J94" i="19" s="1"/>
  <c r="J93" i="19" s="1"/>
  <c r="J113" i="19"/>
  <c r="J112" i="19" s="1"/>
  <c r="L35" i="21"/>
  <c r="L31" i="21" s="1"/>
  <c r="N30" i="25" s="1"/>
  <c r="N31" i="25" s="1"/>
  <c r="K60" i="11"/>
  <c r="K61" i="11" s="1"/>
  <c r="K17" i="15" s="1"/>
  <c r="J75" i="12"/>
  <c r="L74" i="12"/>
  <c r="L51" i="11"/>
  <c r="L15" i="15" s="1"/>
  <c r="E21" i="10"/>
  <c r="D11" i="14"/>
  <c r="E78" i="5"/>
  <c r="E81" i="5" s="1"/>
  <c r="D18" i="10"/>
  <c r="D109" i="19" s="1"/>
  <c r="B51" i="14"/>
  <c r="B49" i="14" s="1"/>
  <c r="L43" i="11"/>
  <c r="L44" i="11" s="1"/>
  <c r="L14" i="15" s="1"/>
  <c r="C29" i="11"/>
  <c r="D73" i="10"/>
  <c r="C78" i="10"/>
  <c r="C84" i="10" s="1"/>
  <c r="K51" i="11"/>
  <c r="K15" i="15" s="1"/>
  <c r="I177" i="7"/>
  <c r="L65" i="11"/>
  <c r="L67" i="11" s="1"/>
  <c r="K67" i="11"/>
  <c r="K68" i="11" s="1"/>
  <c r="K18" i="15" s="1"/>
  <c r="K76" i="12"/>
  <c r="L58" i="11"/>
  <c r="L60" i="11" s="1"/>
  <c r="L31" i="10"/>
  <c r="L73" i="12"/>
  <c r="C25" i="11"/>
  <c r="C11" i="16"/>
  <c r="C14" i="16" s="1"/>
  <c r="C24" i="16" s="1"/>
  <c r="C28" i="16" s="1"/>
  <c r="C32" i="16" s="1"/>
  <c r="C12" i="13"/>
  <c r="C19" i="13" s="1"/>
  <c r="K74" i="11"/>
  <c r="L72" i="11"/>
  <c r="L74" i="11" s="1"/>
  <c r="L75" i="11" s="1"/>
  <c r="L20" i="15" s="1"/>
  <c r="E20" i="16"/>
  <c r="E22" i="16" s="1"/>
  <c r="E26" i="13"/>
  <c r="J39" i="17"/>
  <c r="C34" i="16"/>
  <c r="C38" i="16" s="1"/>
  <c r="C30" i="15"/>
  <c r="N52" i="8"/>
  <c r="N63" i="8" s="1"/>
  <c r="L15" i="22" s="1"/>
  <c r="I84" i="19"/>
  <c r="I32" i="20" s="1"/>
  <c r="K22" i="25" s="1"/>
  <c r="K23" i="25" s="1"/>
  <c r="L68" i="10"/>
  <c r="L98" i="19"/>
  <c r="K90" i="19"/>
  <c r="K27" i="11"/>
  <c r="D22" i="14"/>
  <c r="D27" i="14" s="1"/>
  <c r="D90" i="11"/>
  <c r="K26" i="11"/>
  <c r="J87" i="19"/>
  <c r="N67" i="8"/>
  <c r="N75" i="8" s="1"/>
  <c r="L16" i="22" s="1"/>
  <c r="J44" i="14"/>
  <c r="J21" i="21"/>
  <c r="J20" i="21" s="1"/>
  <c r="J55" i="19"/>
  <c r="J54" i="19" s="1"/>
  <c r="G101" i="7"/>
  <c r="L19" i="11"/>
  <c r="K21" i="11"/>
  <c r="K22" i="11" s="1"/>
  <c r="K11" i="15" s="1"/>
  <c r="G131" i="7"/>
  <c r="E48" i="22"/>
  <c r="K89" i="19"/>
  <c r="L97" i="19"/>
  <c r="L96" i="19"/>
  <c r="K88" i="19"/>
  <c r="L88" i="10"/>
  <c r="L91" i="19" s="1"/>
  <c r="L99" i="19"/>
  <c r="K91" i="19"/>
  <c r="L92" i="10"/>
  <c r="K16" i="21"/>
  <c r="K52" i="19"/>
  <c r="N34" i="8"/>
  <c r="N48" i="8" s="1"/>
  <c r="L14" i="22" s="1"/>
  <c r="N102" i="8"/>
  <c r="L32" i="17" s="1"/>
  <c r="K32" i="17"/>
  <c r="N79" i="8"/>
  <c r="L31" i="17" s="1"/>
  <c r="K31" i="17"/>
  <c r="K29" i="17"/>
  <c r="L10" i="16"/>
  <c r="I9" i="16"/>
  <c r="I10" i="13"/>
  <c r="J99" i="10"/>
  <c r="J98" i="10" s="1"/>
  <c r="J20" i="14"/>
  <c r="I9" i="11"/>
  <c r="I13" i="11" s="1"/>
  <c r="I10" i="15" s="1"/>
  <c r="K11" i="7"/>
  <c r="L11" i="13"/>
  <c r="L16" i="11"/>
  <c r="H99" i="7"/>
  <c r="N66" i="8"/>
  <c r="N74" i="8" s="1"/>
  <c r="M73" i="8"/>
  <c r="M76" i="8" s="1"/>
  <c r="L20" i="5"/>
  <c r="M20" i="5"/>
  <c r="G194" i="7"/>
  <c r="E52" i="22"/>
  <c r="M77" i="5"/>
  <c r="N25" i="8"/>
  <c r="M28" i="8"/>
  <c r="N51" i="8"/>
  <c r="N62" i="8" s="1"/>
  <c r="M61" i="8"/>
  <c r="N78" i="8"/>
  <c r="M84" i="8"/>
  <c r="L67" i="10"/>
  <c r="L88" i="19" s="1"/>
  <c r="K11" i="11"/>
  <c r="K10" i="11"/>
  <c r="J12" i="11"/>
  <c r="N97" i="8"/>
  <c r="M104" i="8"/>
  <c r="M107" i="8" s="1"/>
  <c r="L12" i="12"/>
  <c r="K17" i="12"/>
  <c r="K33" i="14" s="1"/>
  <c r="K36" i="14" s="1"/>
  <c r="L15" i="5"/>
  <c r="M12" i="5"/>
  <c r="N33" i="8"/>
  <c r="N47" i="8" s="1"/>
  <c r="M46" i="8"/>
  <c r="L87" i="10"/>
  <c r="K89" i="10"/>
  <c r="H39" i="7"/>
  <c r="M45" i="7"/>
  <c r="M46" i="7" s="1"/>
  <c r="M45" i="6" s="1"/>
  <c r="L68" i="11" l="1"/>
  <c r="L18" i="15" s="1"/>
  <c r="L17" i="16"/>
  <c r="G29" i="13"/>
  <c r="G69" i="19" s="1"/>
  <c r="I112" i="6"/>
  <c r="H68" i="12" s="1"/>
  <c r="H94" i="11"/>
  <c r="E50" i="14"/>
  <c r="L55" i="11"/>
  <c r="L61" i="11" s="1"/>
  <c r="L17" i="15" s="1"/>
  <c r="C32" i="13"/>
  <c r="C37" i="13" s="1"/>
  <c r="C67" i="19" s="1"/>
  <c r="C66" i="19" s="1"/>
  <c r="C63" i="19" s="1"/>
  <c r="E28" i="25" s="1"/>
  <c r="C15" i="19"/>
  <c r="C14" i="19" s="1"/>
  <c r="E30" i="13"/>
  <c r="E19" i="19" s="1"/>
  <c r="E70" i="19"/>
  <c r="C40" i="16"/>
  <c r="C42" i="16" s="1"/>
  <c r="L23" i="13"/>
  <c r="F20" i="7"/>
  <c r="F23" i="7" s="1"/>
  <c r="M31" i="8"/>
  <c r="J13" i="7"/>
  <c r="L34" i="11"/>
  <c r="L38" i="11" s="1"/>
  <c r="L13" i="15" s="1"/>
  <c r="L15" i="13"/>
  <c r="L68" i="19" s="1"/>
  <c r="L26" i="16"/>
  <c r="N106" i="8"/>
  <c r="M197" i="7" s="1"/>
  <c r="L13" i="17" s="1"/>
  <c r="J167" i="7"/>
  <c r="J168" i="7" s="1"/>
  <c r="J104" i="6" s="1"/>
  <c r="F126" i="7"/>
  <c r="E53" i="22" s="1"/>
  <c r="E46" i="22" s="1"/>
  <c r="E32" i="22" s="1"/>
  <c r="E15" i="23" s="1"/>
  <c r="G36" i="25" s="1"/>
  <c r="G37" i="25" s="1"/>
  <c r="J9" i="11"/>
  <c r="J13" i="11" s="1"/>
  <c r="J10" i="15" s="1"/>
  <c r="J20" i="22"/>
  <c r="K21" i="17"/>
  <c r="K24" i="17" s="1"/>
  <c r="K10" i="17"/>
  <c r="K12" i="7"/>
  <c r="J78" i="22" s="1"/>
  <c r="N86" i="8"/>
  <c r="N30" i="8"/>
  <c r="M103" i="7" s="1"/>
  <c r="L118" i="7"/>
  <c r="L119" i="7" s="1"/>
  <c r="L120" i="7" s="1"/>
  <c r="K14" i="17"/>
  <c r="F24" i="22"/>
  <c r="F22" i="22" s="1"/>
  <c r="F9" i="22" s="1"/>
  <c r="F10" i="23" s="1"/>
  <c r="H34" i="25" s="1"/>
  <c r="H35" i="25" s="1"/>
  <c r="K9" i="17"/>
  <c r="H51" i="6"/>
  <c r="G25" i="22"/>
  <c r="H52" i="6"/>
  <c r="G26" i="22"/>
  <c r="G110" i="7"/>
  <c r="H101" i="7" s="1"/>
  <c r="L165" i="7"/>
  <c r="K11" i="17" s="1"/>
  <c r="K17" i="22"/>
  <c r="K198" i="7"/>
  <c r="K199" i="7" s="1"/>
  <c r="K200" i="7" s="1"/>
  <c r="L197" i="7"/>
  <c r="K19" i="22"/>
  <c r="G203" i="7"/>
  <c r="G205" i="7" s="1"/>
  <c r="G206" i="7" s="1"/>
  <c r="H178" i="7"/>
  <c r="G190" i="7"/>
  <c r="H171" i="7"/>
  <c r="H173" i="7" s="1"/>
  <c r="I162" i="7" s="1"/>
  <c r="G158" i="7"/>
  <c r="H147" i="7" s="1"/>
  <c r="H146" i="7"/>
  <c r="H155" i="7" s="1"/>
  <c r="H157" i="7" s="1"/>
  <c r="G139" i="7"/>
  <c r="G141" i="7" s="1"/>
  <c r="G123" i="7"/>
  <c r="H107" i="7"/>
  <c r="H47" i="6" s="1"/>
  <c r="H108" i="7"/>
  <c r="J201" i="7"/>
  <c r="J202" i="7"/>
  <c r="J204" i="7" s="1"/>
  <c r="I185" i="7"/>
  <c r="I186" i="7"/>
  <c r="I188" i="7" s="1"/>
  <c r="M87" i="8"/>
  <c r="M64" i="8"/>
  <c r="K13" i="22"/>
  <c r="M148" i="7"/>
  <c r="M149" i="7"/>
  <c r="N61" i="8"/>
  <c r="M132" i="7"/>
  <c r="M133" i="7"/>
  <c r="G50" i="6"/>
  <c r="G58" i="6" s="1"/>
  <c r="F88" i="11" s="1"/>
  <c r="M116" i="7"/>
  <c r="M49" i="8"/>
  <c r="M117" i="7"/>
  <c r="J15" i="17"/>
  <c r="J26" i="17" s="1"/>
  <c r="J42" i="21" s="1"/>
  <c r="J9" i="16"/>
  <c r="J10" i="13"/>
  <c r="I54" i="6"/>
  <c r="L104" i="7"/>
  <c r="H48" i="6"/>
  <c r="L150" i="7"/>
  <c r="L134" i="7"/>
  <c r="K151" i="7"/>
  <c r="K152" i="7" s="1"/>
  <c r="E30" i="16"/>
  <c r="N46" i="8"/>
  <c r="I41" i="17"/>
  <c r="K10" i="25" s="1"/>
  <c r="K11" i="25" s="1"/>
  <c r="N73" i="8"/>
  <c r="J84" i="19"/>
  <c r="J32" i="20" s="1"/>
  <c r="L22" i="25" s="1"/>
  <c r="L23" i="25" s="1"/>
  <c r="F50" i="22"/>
  <c r="K75" i="12"/>
  <c r="E67" i="12"/>
  <c r="L29" i="5"/>
  <c r="K94" i="19" s="1"/>
  <c r="K93" i="19" s="1"/>
  <c r="L76" i="12"/>
  <c r="K75" i="11"/>
  <c r="K20" i="15" s="1"/>
  <c r="K113" i="19" s="1"/>
  <c r="K112" i="19" s="1"/>
  <c r="D28" i="11"/>
  <c r="C30" i="11"/>
  <c r="B8" i="24"/>
  <c r="F21" i="10"/>
  <c r="F78" i="5"/>
  <c r="F81" i="5" s="1"/>
  <c r="E11" i="14"/>
  <c r="E18" i="10"/>
  <c r="E109" i="19" s="1"/>
  <c r="E73" i="10"/>
  <c r="D29" i="11"/>
  <c r="D78" i="10"/>
  <c r="D84" i="10" s="1"/>
  <c r="C34" i="19"/>
  <c r="C33" i="19" s="1"/>
  <c r="C23" i="19"/>
  <c r="C22" i="19" s="1"/>
  <c r="C41" i="19"/>
  <c r="C43" i="21"/>
  <c r="C39" i="21" s="1"/>
  <c r="E42" i="25" s="1"/>
  <c r="E43" i="25" s="1"/>
  <c r="C12" i="14"/>
  <c r="C94" i="10"/>
  <c r="C93" i="10" s="1"/>
  <c r="D25" i="11"/>
  <c r="D12" i="13"/>
  <c r="D19" i="13" s="1"/>
  <c r="D32" i="13" s="1"/>
  <c r="D11" i="16"/>
  <c r="D14" i="16" s="1"/>
  <c r="D24" i="16" s="1"/>
  <c r="D28" i="16" s="1"/>
  <c r="D32" i="16" s="1"/>
  <c r="K39" i="17"/>
  <c r="L52" i="19"/>
  <c r="L16" i="21"/>
  <c r="K87" i="19"/>
  <c r="L17" i="12"/>
  <c r="L20" i="11"/>
  <c r="L89" i="10"/>
  <c r="L20" i="14" s="1"/>
  <c r="L89" i="19"/>
  <c r="N84" i="8"/>
  <c r="N104" i="8"/>
  <c r="L90" i="19"/>
  <c r="L27" i="11"/>
  <c r="K44" i="14"/>
  <c r="K21" i="21"/>
  <c r="K20" i="21" s="1"/>
  <c r="K55" i="19"/>
  <c r="K54" i="19" s="1"/>
  <c r="L95" i="19"/>
  <c r="D93" i="11"/>
  <c r="D96" i="11" s="1"/>
  <c r="D29" i="15" s="1"/>
  <c r="E89" i="11"/>
  <c r="L26" i="11"/>
  <c r="N28" i="8"/>
  <c r="L29" i="17"/>
  <c r="L39" i="17" s="1"/>
  <c r="K99" i="10"/>
  <c r="K98" i="10" s="1"/>
  <c r="K20" i="14"/>
  <c r="G17" i="7"/>
  <c r="I161" i="7"/>
  <c r="L11" i="11"/>
  <c r="M15" i="5"/>
  <c r="M29" i="5" s="1"/>
  <c r="L94" i="19" s="1"/>
  <c r="G16" i="7"/>
  <c r="G9" i="7"/>
  <c r="I145" i="7"/>
  <c r="L11" i="7"/>
  <c r="K12" i="11"/>
  <c r="L10" i="11"/>
  <c r="G195" i="7"/>
  <c r="I113" i="7"/>
  <c r="I122" i="7" s="1"/>
  <c r="H40" i="7"/>
  <c r="H48" i="7"/>
  <c r="H49" i="7" s="1"/>
  <c r="L33" i="14" l="1"/>
  <c r="L36" i="14" s="1"/>
  <c r="L55" i="19" s="1"/>
  <c r="L54" i="19" s="1"/>
  <c r="L113" i="19"/>
  <c r="L112" i="19" s="1"/>
  <c r="J112" i="6"/>
  <c r="I68" i="12" s="1"/>
  <c r="I94" i="11"/>
  <c r="H29" i="13"/>
  <c r="H69" i="19" s="1"/>
  <c r="L93" i="19"/>
  <c r="N31" i="8"/>
  <c r="G115" i="7"/>
  <c r="G10" i="7" s="1"/>
  <c r="L19" i="22"/>
  <c r="N107" i="8"/>
  <c r="L12" i="7"/>
  <c r="K78" i="22" s="1"/>
  <c r="J14" i="7"/>
  <c r="J15" i="7"/>
  <c r="I80" i="22" s="1"/>
  <c r="I77" i="22" s="1"/>
  <c r="L166" i="7"/>
  <c r="L167" i="7" s="1"/>
  <c r="L168" i="7" s="1"/>
  <c r="F21" i="7"/>
  <c r="E22" i="14" s="1"/>
  <c r="E27" i="14" s="1"/>
  <c r="K13" i="7"/>
  <c r="L21" i="17"/>
  <c r="L24" i="17" s="1"/>
  <c r="K104" i="6"/>
  <c r="L9" i="17"/>
  <c r="F49" i="22"/>
  <c r="F83" i="22"/>
  <c r="F74" i="22" s="1"/>
  <c r="F24" i="23" s="1"/>
  <c r="H40" i="25" s="1"/>
  <c r="H41" i="25" s="1"/>
  <c r="L10" i="17"/>
  <c r="I53" i="6"/>
  <c r="H27" i="22"/>
  <c r="L198" i="7"/>
  <c r="L199" i="7" s="1"/>
  <c r="L200" i="7" s="1"/>
  <c r="K13" i="17"/>
  <c r="K15" i="17" s="1"/>
  <c r="K26" i="17" s="1"/>
  <c r="K41" i="17" s="1"/>
  <c r="M10" i="25" s="1"/>
  <c r="M11" i="25" s="1"/>
  <c r="M118" i="7"/>
  <c r="M119" i="7" s="1"/>
  <c r="M120" i="7" s="1"/>
  <c r="L14" i="17"/>
  <c r="J54" i="6"/>
  <c r="I28" i="22"/>
  <c r="M165" i="7"/>
  <c r="L11" i="17" s="1"/>
  <c r="L17" i="22"/>
  <c r="K20" i="22"/>
  <c r="G125" i="7"/>
  <c r="G126" i="7" s="1"/>
  <c r="G18" i="7"/>
  <c r="F95" i="11" s="1"/>
  <c r="H179" i="7"/>
  <c r="F51" i="22"/>
  <c r="H187" i="7"/>
  <c r="H189" i="7" s="1"/>
  <c r="I169" i="7"/>
  <c r="I170" i="7"/>
  <c r="I172" i="7" s="1"/>
  <c r="J41" i="17"/>
  <c r="L10" i="25" s="1"/>
  <c r="L11" i="25" s="1"/>
  <c r="N87" i="8"/>
  <c r="N76" i="8"/>
  <c r="M134" i="7"/>
  <c r="M135" i="7" s="1"/>
  <c r="M136" i="7" s="1"/>
  <c r="L13" i="22"/>
  <c r="I153" i="7"/>
  <c r="I154" i="7"/>
  <c r="I156" i="7" s="1"/>
  <c r="N64" i="8"/>
  <c r="K14" i="7"/>
  <c r="I124" i="7"/>
  <c r="N49" i="8"/>
  <c r="L99" i="10"/>
  <c r="L98" i="10" s="1"/>
  <c r="M104" i="7"/>
  <c r="L105" i="7"/>
  <c r="L106" i="7" s="1"/>
  <c r="M150" i="7"/>
  <c r="L151" i="7"/>
  <c r="L152" i="7" s="1"/>
  <c r="L135" i="7"/>
  <c r="L136" i="7" s="1"/>
  <c r="M198" i="7"/>
  <c r="H174" i="7"/>
  <c r="I146" i="7"/>
  <c r="H158" i="7"/>
  <c r="G142" i="7"/>
  <c r="F48" i="22" s="1"/>
  <c r="I121" i="7"/>
  <c r="H23" i="22" s="1"/>
  <c r="K15" i="7"/>
  <c r="J80" i="22" s="1"/>
  <c r="J77" i="22" s="1"/>
  <c r="K9" i="11"/>
  <c r="K13" i="11" s="1"/>
  <c r="K10" i="15" s="1"/>
  <c r="K10" i="13"/>
  <c r="K9" i="16"/>
  <c r="K84" i="19"/>
  <c r="K32" i="20" s="1"/>
  <c r="M22" i="25" s="1"/>
  <c r="M23" i="25" s="1"/>
  <c r="C30" i="19"/>
  <c r="C17" i="20" s="1"/>
  <c r="E14" i="25" s="1"/>
  <c r="E15" i="25" s="1"/>
  <c r="C10" i="19"/>
  <c r="C11" i="20" s="1"/>
  <c r="E12" i="25" s="1"/>
  <c r="E13" i="25" s="1"/>
  <c r="D94" i="10"/>
  <c r="D93" i="10" s="1"/>
  <c r="D12" i="14"/>
  <c r="G21" i="10"/>
  <c r="F11" i="14"/>
  <c r="G78" i="5"/>
  <c r="G81" i="5" s="1"/>
  <c r="F18" i="10"/>
  <c r="F109" i="19" s="1"/>
  <c r="J177" i="7"/>
  <c r="D43" i="21"/>
  <c r="D39" i="21" s="1"/>
  <c r="F42" i="25" s="1"/>
  <c r="F43" i="25" s="1"/>
  <c r="D15" i="19"/>
  <c r="D14" i="19" s="1"/>
  <c r="D23" i="19"/>
  <c r="D22" i="19" s="1"/>
  <c r="D41" i="19"/>
  <c r="D34" i="19"/>
  <c r="D33" i="19" s="1"/>
  <c r="D37" i="13"/>
  <c r="D67" i="19" s="1"/>
  <c r="D66" i="19" s="1"/>
  <c r="D63" i="19" s="1"/>
  <c r="F28" i="25" s="1"/>
  <c r="C39" i="13"/>
  <c r="C42" i="13"/>
  <c r="C65" i="12"/>
  <c r="E28" i="11"/>
  <c r="D30" i="11"/>
  <c r="C31" i="11"/>
  <c r="C12" i="15" s="1"/>
  <c r="C21" i="15" s="1"/>
  <c r="C40" i="15" s="1"/>
  <c r="C44" i="15" s="1"/>
  <c r="D42" i="15" s="1"/>
  <c r="C72" i="12"/>
  <c r="M11" i="7"/>
  <c r="F73" i="10"/>
  <c r="E29" i="11"/>
  <c r="E78" i="10"/>
  <c r="E84" i="10" s="1"/>
  <c r="E25" i="11"/>
  <c r="E12" i="13"/>
  <c r="E19" i="13" s="1"/>
  <c r="E32" i="13" s="1"/>
  <c r="E11" i="16"/>
  <c r="E14" i="16" s="1"/>
  <c r="E24" i="16" s="1"/>
  <c r="E28" i="16" s="1"/>
  <c r="E32" i="16" s="1"/>
  <c r="L75" i="12"/>
  <c r="L21" i="11"/>
  <c r="L22" i="11" s="1"/>
  <c r="L11" i="15" s="1"/>
  <c r="D34" i="16"/>
  <c r="D38" i="16" s="1"/>
  <c r="D40" i="16" s="1"/>
  <c r="D42" i="16" s="1"/>
  <c r="D30" i="15"/>
  <c r="L44" i="14"/>
  <c r="L21" i="21"/>
  <c r="L20" i="21" s="1"/>
  <c r="L87" i="19"/>
  <c r="L84" i="19" s="1"/>
  <c r="L32" i="20" s="1"/>
  <c r="N22" i="25" s="1"/>
  <c r="N23" i="25" s="1"/>
  <c r="F20" i="16"/>
  <c r="L9" i="16"/>
  <c r="K193" i="7"/>
  <c r="L10" i="13"/>
  <c r="L9" i="11"/>
  <c r="H129" i="7"/>
  <c r="G19" i="7"/>
  <c r="G22" i="7" s="1"/>
  <c r="H109" i="7"/>
  <c r="I100" i="7" s="1"/>
  <c r="F26" i="13"/>
  <c r="F70" i="19" s="1"/>
  <c r="H194" i="7"/>
  <c r="I99" i="7"/>
  <c r="L12" i="11"/>
  <c r="H130" i="7"/>
  <c r="I39" i="7"/>
  <c r="I29" i="13" l="1"/>
  <c r="I69" i="19" s="1"/>
  <c r="K112" i="6"/>
  <c r="J68" i="12" s="1"/>
  <c r="J94" i="11"/>
  <c r="F50" i="14"/>
  <c r="E90" i="11"/>
  <c r="E93" i="11" s="1"/>
  <c r="E96" i="11" s="1"/>
  <c r="E29" i="15" s="1"/>
  <c r="M12" i="7"/>
  <c r="M166" i="7"/>
  <c r="M167" i="7" s="1"/>
  <c r="M168" i="7" s="1"/>
  <c r="G20" i="7"/>
  <c r="G23" i="7" s="1"/>
  <c r="L20" i="22"/>
  <c r="L13" i="7"/>
  <c r="I52" i="6"/>
  <c r="H26" i="22"/>
  <c r="I51" i="6"/>
  <c r="H25" i="22"/>
  <c r="K42" i="21"/>
  <c r="H114" i="7"/>
  <c r="H9" i="7" s="1"/>
  <c r="H203" i="7"/>
  <c r="H205" i="7" s="1"/>
  <c r="H206" i="7" s="1"/>
  <c r="I178" i="7"/>
  <c r="H190" i="7"/>
  <c r="I171" i="7"/>
  <c r="I173" i="7" s="1"/>
  <c r="J162" i="7" s="1"/>
  <c r="I155" i="7"/>
  <c r="I157" i="7" s="1"/>
  <c r="F53" i="22"/>
  <c r="H115" i="7"/>
  <c r="I107" i="7"/>
  <c r="I47" i="6" s="1"/>
  <c r="I108" i="7"/>
  <c r="K202" i="7"/>
  <c r="K204" i="7" s="1"/>
  <c r="L193" i="7" s="1"/>
  <c r="J185" i="7"/>
  <c r="J186" i="7"/>
  <c r="J188" i="7" s="1"/>
  <c r="H138" i="7"/>
  <c r="H140" i="7" s="1"/>
  <c r="L104" i="6"/>
  <c r="L15" i="17"/>
  <c r="L26" i="17" s="1"/>
  <c r="L42" i="21" s="1"/>
  <c r="I48" i="6"/>
  <c r="L14" i="7"/>
  <c r="M105" i="7"/>
  <c r="M106" i="7" s="1"/>
  <c r="H110" i="7"/>
  <c r="M199" i="7"/>
  <c r="M200" i="7" s="1"/>
  <c r="M151" i="7"/>
  <c r="K201" i="7"/>
  <c r="H137" i="7"/>
  <c r="L15" i="7"/>
  <c r="K80" i="22" s="1"/>
  <c r="K77" i="22" s="1"/>
  <c r="D30" i="19"/>
  <c r="D17" i="20" s="1"/>
  <c r="F14" i="25" s="1"/>
  <c r="F15" i="25" s="1"/>
  <c r="D10" i="19"/>
  <c r="D11" i="20" s="1"/>
  <c r="F12" i="25" s="1"/>
  <c r="F13" i="25" s="1"/>
  <c r="F28" i="11"/>
  <c r="E30" i="11"/>
  <c r="E15" i="19"/>
  <c r="E14" i="19" s="1"/>
  <c r="E23" i="19"/>
  <c r="E22" i="19" s="1"/>
  <c r="E41" i="19"/>
  <c r="E43" i="21"/>
  <c r="E39" i="21" s="1"/>
  <c r="G42" i="25" s="1"/>
  <c r="G43" i="25" s="1"/>
  <c r="E34" i="19"/>
  <c r="E33" i="19" s="1"/>
  <c r="E37" i="13"/>
  <c r="E67" i="19" s="1"/>
  <c r="E66" i="19" s="1"/>
  <c r="E63" i="19" s="1"/>
  <c r="G28" i="25" s="1"/>
  <c r="F29" i="11"/>
  <c r="G73" i="10"/>
  <c r="F78" i="10"/>
  <c r="F84" i="10" s="1"/>
  <c r="C77" i="12"/>
  <c r="C78" i="12" s="1"/>
  <c r="C23" i="15"/>
  <c r="F25" i="11"/>
  <c r="F12" i="13"/>
  <c r="F19" i="13" s="1"/>
  <c r="F11" i="16"/>
  <c r="F14" i="16" s="1"/>
  <c r="D31" i="11"/>
  <c r="D12" i="15" s="1"/>
  <c r="D21" i="15" s="1"/>
  <c r="D40" i="15" s="1"/>
  <c r="D44" i="15" s="1"/>
  <c r="E42" i="15" s="1"/>
  <c r="D72" i="12"/>
  <c r="E12" i="14"/>
  <c r="E94" i="10"/>
  <c r="E93" i="10" s="1"/>
  <c r="D65" i="12"/>
  <c r="D42" i="13"/>
  <c r="D39" i="13"/>
  <c r="H21" i="10"/>
  <c r="G18" i="10"/>
  <c r="G109" i="19" s="1"/>
  <c r="H78" i="5"/>
  <c r="H81" i="5" s="1"/>
  <c r="G11" i="14"/>
  <c r="H195" i="7"/>
  <c r="F52" i="22"/>
  <c r="I147" i="7"/>
  <c r="G49" i="22"/>
  <c r="I163" i="7"/>
  <c r="G50" i="22"/>
  <c r="L13" i="11"/>
  <c r="L10" i="15" s="1"/>
  <c r="F30" i="13"/>
  <c r="F67" i="12"/>
  <c r="F30" i="16"/>
  <c r="F22" i="16"/>
  <c r="H8" i="7"/>
  <c r="J113" i="7"/>
  <c r="J122" i="7" s="1"/>
  <c r="H131" i="7"/>
  <c r="G21" i="7"/>
  <c r="J161" i="7"/>
  <c r="J145" i="7"/>
  <c r="I40" i="7"/>
  <c r="I48" i="7"/>
  <c r="I49" i="7" s="1"/>
  <c r="L78" i="22" l="1"/>
  <c r="J29" i="13"/>
  <c r="J69" i="19" s="1"/>
  <c r="L112" i="6"/>
  <c r="K68" i="12" s="1"/>
  <c r="K94" i="11"/>
  <c r="M13" i="7"/>
  <c r="F32" i="13"/>
  <c r="F37" i="13" s="1"/>
  <c r="F67" i="19" s="1"/>
  <c r="F66" i="19" s="1"/>
  <c r="F63" i="19" s="1"/>
  <c r="H28" i="25" s="1"/>
  <c r="H123" i="7"/>
  <c r="H125" i="7" s="1"/>
  <c r="I114" i="7" s="1"/>
  <c r="F89" i="11"/>
  <c r="F46" i="22"/>
  <c r="F32" i="22" s="1"/>
  <c r="F15" i="23" s="1"/>
  <c r="H36" i="25" s="1"/>
  <c r="H37" i="25" s="1"/>
  <c r="H50" i="6"/>
  <c r="H58" i="6" s="1"/>
  <c r="G88" i="11" s="1"/>
  <c r="G24" i="22"/>
  <c r="G22" i="22" s="1"/>
  <c r="G9" i="22" s="1"/>
  <c r="G10" i="23" s="1"/>
  <c r="I34" i="25" s="1"/>
  <c r="I35" i="25" s="1"/>
  <c r="K54" i="6"/>
  <c r="J28" i="22"/>
  <c r="J53" i="6"/>
  <c r="I27" i="22"/>
  <c r="I179" i="7"/>
  <c r="G51" i="22"/>
  <c r="I187" i="7"/>
  <c r="I189" i="7" s="1"/>
  <c r="I194" i="7"/>
  <c r="H139" i="7"/>
  <c r="H141" i="7" s="1"/>
  <c r="L202" i="7"/>
  <c r="L204" i="7" s="1"/>
  <c r="M193" i="7" s="1"/>
  <c r="J169" i="7"/>
  <c r="J170" i="7"/>
  <c r="J172" i="7" s="1"/>
  <c r="J153" i="7"/>
  <c r="J154" i="7"/>
  <c r="J156" i="7" s="1"/>
  <c r="L41" i="17"/>
  <c r="N10" i="25" s="1"/>
  <c r="N11" i="25" s="1"/>
  <c r="J124" i="7"/>
  <c r="H10" i="7"/>
  <c r="M14" i="7"/>
  <c r="L201" i="7"/>
  <c r="M152" i="7"/>
  <c r="M104" i="6" s="1"/>
  <c r="I174" i="7"/>
  <c r="J163" i="7" s="1"/>
  <c r="J146" i="7"/>
  <c r="I158" i="7"/>
  <c r="J121" i="7"/>
  <c r="I23" i="22" s="1"/>
  <c r="F24" i="16"/>
  <c r="F28" i="16" s="1"/>
  <c r="F32" i="16" s="1"/>
  <c r="E30" i="19"/>
  <c r="E17" i="20" s="1"/>
  <c r="G14" i="25" s="1"/>
  <c r="G15" i="25" s="1"/>
  <c r="E10" i="19"/>
  <c r="E11" i="20" s="1"/>
  <c r="G12" i="25" s="1"/>
  <c r="G13" i="25" s="1"/>
  <c r="C12" i="10"/>
  <c r="C15" i="10" s="1"/>
  <c r="C61" i="12"/>
  <c r="G25" i="11"/>
  <c r="G12" i="13"/>
  <c r="G19" i="13" s="1"/>
  <c r="G11" i="16"/>
  <c r="G14" i="16" s="1"/>
  <c r="D77" i="12"/>
  <c r="D78" i="12" s="1"/>
  <c r="D23" i="15"/>
  <c r="G28" i="11"/>
  <c r="F30" i="11"/>
  <c r="K177" i="7"/>
  <c r="G29" i="11"/>
  <c r="H73" i="10"/>
  <c r="G78" i="10"/>
  <c r="G84" i="10" s="1"/>
  <c r="F15" i="19"/>
  <c r="F41" i="19"/>
  <c r="F23" i="19"/>
  <c r="F22" i="19" s="1"/>
  <c r="F43" i="21"/>
  <c r="F39" i="21" s="1"/>
  <c r="H42" i="25" s="1"/>
  <c r="H43" i="25" s="1"/>
  <c r="F34" i="19"/>
  <c r="F33" i="19" s="1"/>
  <c r="E39" i="13"/>
  <c r="E42" i="13"/>
  <c r="E65" i="12"/>
  <c r="E31" i="11"/>
  <c r="E12" i="15" s="1"/>
  <c r="E21" i="15" s="1"/>
  <c r="E72" i="12"/>
  <c r="I21" i="10"/>
  <c r="H18" i="10"/>
  <c r="H109" i="19" s="1"/>
  <c r="H11" i="14"/>
  <c r="I78" i="5"/>
  <c r="I81" i="5" s="1"/>
  <c r="F12" i="14"/>
  <c r="F94" i="10"/>
  <c r="F93" i="10" s="1"/>
  <c r="F22" i="14"/>
  <c r="F27" i="14" s="1"/>
  <c r="F90" i="11"/>
  <c r="E34" i="16"/>
  <c r="E38" i="16" s="1"/>
  <c r="E40" i="16" s="1"/>
  <c r="E42" i="16" s="1"/>
  <c r="E30" i="15"/>
  <c r="I101" i="7"/>
  <c r="I195" i="7"/>
  <c r="G52" i="22"/>
  <c r="F19" i="19"/>
  <c r="H17" i="7"/>
  <c r="H16" i="7"/>
  <c r="I109" i="7"/>
  <c r="J100" i="7" s="1"/>
  <c r="J99" i="7"/>
  <c r="J39" i="7"/>
  <c r="K29" i="13" l="1"/>
  <c r="K69" i="19" s="1"/>
  <c r="M112" i="6"/>
  <c r="L68" i="12" s="1"/>
  <c r="L94" i="11"/>
  <c r="E40" i="15"/>
  <c r="E44" i="15" s="1"/>
  <c r="F42" i="15" s="1"/>
  <c r="E77" i="12"/>
  <c r="G83" i="22"/>
  <c r="G74" i="22" s="1"/>
  <c r="G24" i="23" s="1"/>
  <c r="I40" i="25" s="1"/>
  <c r="I41" i="25" s="1"/>
  <c r="L54" i="6"/>
  <c r="K28" i="22"/>
  <c r="J52" i="6"/>
  <c r="I26" i="22"/>
  <c r="J51" i="6"/>
  <c r="I25" i="22"/>
  <c r="H126" i="7"/>
  <c r="G53" i="22" s="1"/>
  <c r="H18" i="7"/>
  <c r="G95" i="11" s="1"/>
  <c r="I203" i="7"/>
  <c r="I205" i="7" s="1"/>
  <c r="I206" i="7" s="1"/>
  <c r="J178" i="7"/>
  <c r="I190" i="7"/>
  <c r="J171" i="7"/>
  <c r="J173" i="7" s="1"/>
  <c r="K162" i="7" s="1"/>
  <c r="J155" i="7"/>
  <c r="J157" i="7" s="1"/>
  <c r="I123" i="7"/>
  <c r="J107" i="7"/>
  <c r="J47" i="6" s="1"/>
  <c r="J108" i="7"/>
  <c r="M202" i="7"/>
  <c r="K185" i="7"/>
  <c r="K186" i="7"/>
  <c r="K188" i="7" s="1"/>
  <c r="H50" i="22"/>
  <c r="M15" i="7"/>
  <c r="J48" i="6"/>
  <c r="I110" i="7"/>
  <c r="M201" i="7"/>
  <c r="H142" i="7"/>
  <c r="G48" i="22" s="1"/>
  <c r="F14" i="19"/>
  <c r="F10" i="19" s="1"/>
  <c r="F11" i="20" s="1"/>
  <c r="E78" i="12"/>
  <c r="F30" i="19"/>
  <c r="F17" i="20" s="1"/>
  <c r="G94" i="10"/>
  <c r="G93" i="10" s="1"/>
  <c r="G12" i="14"/>
  <c r="F31" i="11"/>
  <c r="F12" i="15" s="1"/>
  <c r="F21" i="15" s="1"/>
  <c r="F72" i="12"/>
  <c r="E23" i="15"/>
  <c r="J21" i="10"/>
  <c r="I18" i="10"/>
  <c r="I109" i="19" s="1"/>
  <c r="J78" i="5"/>
  <c r="J81" i="5" s="1"/>
  <c r="I11" i="14"/>
  <c r="H29" i="11"/>
  <c r="I73" i="10"/>
  <c r="H78" i="10"/>
  <c r="H84" i="10" s="1"/>
  <c r="H25" i="11"/>
  <c r="H11" i="16"/>
  <c r="H14" i="16" s="1"/>
  <c r="H12" i="13"/>
  <c r="H19" i="13" s="1"/>
  <c r="H28" i="11"/>
  <c r="G30" i="11"/>
  <c r="G72" i="12" s="1"/>
  <c r="C23" i="10"/>
  <c r="C27" i="10" s="1"/>
  <c r="C33" i="10" s="1"/>
  <c r="C10" i="14"/>
  <c r="C16" i="14" s="1"/>
  <c r="C108" i="19"/>
  <c r="C106" i="19" s="1"/>
  <c r="C103" i="19" s="1"/>
  <c r="C37" i="20" s="1"/>
  <c r="E24" i="25" s="1"/>
  <c r="E25" i="25" s="1"/>
  <c r="C59" i="12"/>
  <c r="C62" i="12" s="1"/>
  <c r="D12" i="10"/>
  <c r="D15" i="10" s="1"/>
  <c r="D61" i="12"/>
  <c r="G43" i="21"/>
  <c r="G39" i="21" s="1"/>
  <c r="I42" i="25" s="1"/>
  <c r="I43" i="25" s="1"/>
  <c r="G15" i="19"/>
  <c r="G41" i="19"/>
  <c r="G34" i="19"/>
  <c r="G33" i="19" s="1"/>
  <c r="G23" i="19"/>
  <c r="G22" i="19" s="1"/>
  <c r="J147" i="7"/>
  <c r="H49" i="22"/>
  <c r="F65" i="12"/>
  <c r="F39" i="13"/>
  <c r="F42" i="13"/>
  <c r="F93" i="11"/>
  <c r="F96" i="11" s="1"/>
  <c r="F29" i="15" s="1"/>
  <c r="G89" i="11"/>
  <c r="G20" i="16"/>
  <c r="G26" i="13"/>
  <c r="G70" i="19" s="1"/>
  <c r="K113" i="7"/>
  <c r="K122" i="7" s="1"/>
  <c r="I130" i="7"/>
  <c r="H20" i="7"/>
  <c r="K161" i="7"/>
  <c r="I129" i="7"/>
  <c r="H19" i="7"/>
  <c r="H22" i="7" s="1"/>
  <c r="K145" i="7"/>
  <c r="J40" i="7"/>
  <c r="J48" i="7"/>
  <c r="J49" i="7" s="1"/>
  <c r="M204" i="7" l="1"/>
  <c r="L80" i="22"/>
  <c r="L77" i="22" s="1"/>
  <c r="L29" i="13"/>
  <c r="L69" i="19" s="1"/>
  <c r="G50" i="14"/>
  <c r="C32" i="10"/>
  <c r="E18" i="25" s="1"/>
  <c r="E19" i="25" s="1"/>
  <c r="F77" i="12"/>
  <c r="F78" i="12" s="1"/>
  <c r="I115" i="7"/>
  <c r="H23" i="7"/>
  <c r="K53" i="6"/>
  <c r="J27" i="22"/>
  <c r="M54" i="6"/>
  <c r="L28" i="22"/>
  <c r="J109" i="7"/>
  <c r="K100" i="7" s="1"/>
  <c r="J195" i="7"/>
  <c r="H52" i="22"/>
  <c r="G46" i="22"/>
  <c r="G32" i="22" s="1"/>
  <c r="G15" i="23" s="1"/>
  <c r="I36" i="25" s="1"/>
  <c r="I37" i="25" s="1"/>
  <c r="I125" i="7"/>
  <c r="I126" i="7" s="1"/>
  <c r="J194" i="7"/>
  <c r="H51" i="22"/>
  <c r="J179" i="7"/>
  <c r="J187" i="7"/>
  <c r="J189" i="7" s="1"/>
  <c r="K169" i="7"/>
  <c r="K170" i="7"/>
  <c r="K172" i="7" s="1"/>
  <c r="K153" i="7"/>
  <c r="K154" i="7"/>
  <c r="K156" i="7" s="1"/>
  <c r="I9" i="7"/>
  <c r="I138" i="7"/>
  <c r="I140" i="7" s="1"/>
  <c r="K124" i="7"/>
  <c r="H14" i="25"/>
  <c r="H15" i="25" s="1"/>
  <c r="H12" i="25"/>
  <c r="H13" i="25" s="1"/>
  <c r="J174" i="7"/>
  <c r="K146" i="7"/>
  <c r="J158" i="7"/>
  <c r="I137" i="7"/>
  <c r="K121" i="7"/>
  <c r="J23" i="22" s="1"/>
  <c r="J73" i="10"/>
  <c r="I29" i="11"/>
  <c r="I78" i="10"/>
  <c r="I84" i="10" s="1"/>
  <c r="H23" i="19"/>
  <c r="H22" i="19" s="1"/>
  <c r="H43" i="21"/>
  <c r="H39" i="21" s="1"/>
  <c r="J42" i="25" s="1"/>
  <c r="J43" i="25" s="1"/>
  <c r="H34" i="19"/>
  <c r="H33" i="19" s="1"/>
  <c r="H41" i="19"/>
  <c r="H15" i="19"/>
  <c r="I28" i="11"/>
  <c r="H30" i="11"/>
  <c r="K21" i="10"/>
  <c r="K78" i="5"/>
  <c r="K81" i="5" s="1"/>
  <c r="J11" i="14"/>
  <c r="J18" i="10"/>
  <c r="J109" i="19" s="1"/>
  <c r="G30" i="19"/>
  <c r="G17" i="20" s="1"/>
  <c r="I14" i="25" s="1"/>
  <c r="I15" i="25" s="1"/>
  <c r="L177" i="7"/>
  <c r="D23" i="10"/>
  <c r="D27" i="10" s="1"/>
  <c r="D33" i="10" s="1"/>
  <c r="D32" i="10" s="1"/>
  <c r="F18" i="25" s="1"/>
  <c r="F19" i="25" s="1"/>
  <c r="D108" i="19"/>
  <c r="D106" i="19" s="1"/>
  <c r="D103" i="19" s="1"/>
  <c r="D37" i="20" s="1"/>
  <c r="F24" i="25" s="1"/>
  <c r="F25" i="25" s="1"/>
  <c r="D10" i="14"/>
  <c r="D16" i="14" s="1"/>
  <c r="D59" i="12"/>
  <c r="D62" i="12" s="1"/>
  <c r="C29" i="14"/>
  <c r="C46" i="14" s="1"/>
  <c r="C13" i="21"/>
  <c r="C12" i="21" s="1"/>
  <c r="C9" i="21" s="1"/>
  <c r="C49" i="19"/>
  <c r="C48" i="19" s="1"/>
  <c r="C45" i="19" s="1"/>
  <c r="C21" i="20" s="1"/>
  <c r="E20" i="25" s="1"/>
  <c r="E21" i="25" s="1"/>
  <c r="H12" i="14"/>
  <c r="H94" i="10"/>
  <c r="H93" i="10" s="1"/>
  <c r="I25" i="11"/>
  <c r="I11" i="16"/>
  <c r="I14" i="16" s="1"/>
  <c r="I12" i="13"/>
  <c r="I19" i="13" s="1"/>
  <c r="G31" i="11"/>
  <c r="G12" i="15" s="1"/>
  <c r="G21" i="15" s="1"/>
  <c r="G30" i="13"/>
  <c r="G32" i="13" s="1"/>
  <c r="G67" i="12"/>
  <c r="J101" i="7"/>
  <c r="F34" i="16"/>
  <c r="F38" i="16" s="1"/>
  <c r="F40" i="16" s="1"/>
  <c r="F42" i="16" s="1"/>
  <c r="F30" i="15"/>
  <c r="F40" i="15" s="1"/>
  <c r="F44" i="15" s="1"/>
  <c r="G42" i="15" s="1"/>
  <c r="F23" i="15"/>
  <c r="G30" i="16"/>
  <c r="G22" i="16"/>
  <c r="G24" i="16" s="1"/>
  <c r="G28" i="16" s="1"/>
  <c r="I131" i="7"/>
  <c r="H21" i="7"/>
  <c r="K99" i="7"/>
  <c r="I8" i="7"/>
  <c r="K39" i="7"/>
  <c r="G77" i="12" l="1"/>
  <c r="J110" i="7"/>
  <c r="K101" i="7" s="1"/>
  <c r="I10" i="7"/>
  <c r="K51" i="6"/>
  <c r="J25" i="22"/>
  <c r="I50" i="6"/>
  <c r="I58" i="6" s="1"/>
  <c r="H88" i="11" s="1"/>
  <c r="H24" i="22"/>
  <c r="H22" i="22" s="1"/>
  <c r="H9" i="22" s="1"/>
  <c r="H10" i="23" s="1"/>
  <c r="J34" i="25" s="1"/>
  <c r="J35" i="25" s="1"/>
  <c r="K52" i="6"/>
  <c r="J26" i="22"/>
  <c r="J114" i="7"/>
  <c r="J123" i="7" s="1"/>
  <c r="J203" i="7"/>
  <c r="J205" i="7" s="1"/>
  <c r="K178" i="7"/>
  <c r="J190" i="7"/>
  <c r="K171" i="7"/>
  <c r="K173" i="7" s="1"/>
  <c r="L162" i="7" s="1"/>
  <c r="K155" i="7"/>
  <c r="K157" i="7" s="1"/>
  <c r="K158" i="7" s="1"/>
  <c r="I139" i="7"/>
  <c r="H53" i="22"/>
  <c r="J115" i="7"/>
  <c r="K107" i="7"/>
  <c r="K47" i="6" s="1"/>
  <c r="K108" i="7"/>
  <c r="L185" i="7"/>
  <c r="L186" i="7"/>
  <c r="L188" i="7" s="1"/>
  <c r="K48" i="6"/>
  <c r="H30" i="19"/>
  <c r="H17" i="20" s="1"/>
  <c r="J14" i="25" s="1"/>
  <c r="J15" i="25" s="1"/>
  <c r="C51" i="14"/>
  <c r="C49" i="14" s="1"/>
  <c r="C10" i="24" s="1"/>
  <c r="J25" i="11"/>
  <c r="J11" i="16"/>
  <c r="J14" i="16" s="1"/>
  <c r="J12" i="13"/>
  <c r="J19" i="13" s="1"/>
  <c r="I12" i="14"/>
  <c r="I94" i="10"/>
  <c r="I93" i="10" s="1"/>
  <c r="I43" i="21"/>
  <c r="I39" i="21" s="1"/>
  <c r="K42" i="25" s="1"/>
  <c r="K43" i="25" s="1"/>
  <c r="I23" i="19"/>
  <c r="I22" i="19" s="1"/>
  <c r="I15" i="19"/>
  <c r="I41" i="19"/>
  <c r="I34" i="19"/>
  <c r="I33" i="19" s="1"/>
  <c r="E61" i="12"/>
  <c r="E12" i="10"/>
  <c r="E15" i="10" s="1"/>
  <c r="L21" i="10"/>
  <c r="L11" i="14" s="1"/>
  <c r="L78" i="5"/>
  <c r="L81" i="5" s="1"/>
  <c r="K18" i="10"/>
  <c r="K109" i="19" s="1"/>
  <c r="K11" i="14"/>
  <c r="J28" i="11"/>
  <c r="I30" i="11"/>
  <c r="D29" i="14"/>
  <c r="D46" i="14" s="1"/>
  <c r="D51" i="14" s="1"/>
  <c r="D49" i="14" s="1"/>
  <c r="D13" i="21"/>
  <c r="D12" i="21" s="1"/>
  <c r="D9" i="21" s="1"/>
  <c r="D49" i="19"/>
  <c r="D48" i="19" s="1"/>
  <c r="D45" i="19" s="1"/>
  <c r="D21" i="20" s="1"/>
  <c r="F20" i="25" s="1"/>
  <c r="F21" i="25" s="1"/>
  <c r="H31" i="11"/>
  <c r="H12" i="15" s="1"/>
  <c r="H21" i="15" s="1"/>
  <c r="H72" i="12"/>
  <c r="K73" i="10"/>
  <c r="J29" i="11"/>
  <c r="J78" i="10"/>
  <c r="J84" i="10" s="1"/>
  <c r="G22" i="14"/>
  <c r="G27" i="14" s="1"/>
  <c r="G90" i="11"/>
  <c r="G37" i="13"/>
  <c r="G67" i="19" s="1"/>
  <c r="G66" i="19" s="1"/>
  <c r="G63" i="19" s="1"/>
  <c r="I28" i="25" s="1"/>
  <c r="G19" i="19"/>
  <c r="G14" i="19" s="1"/>
  <c r="G10" i="19" s="1"/>
  <c r="G11" i="20" s="1"/>
  <c r="I12" i="25" s="1"/>
  <c r="I13" i="25" s="1"/>
  <c r="K147" i="7"/>
  <c r="I49" i="22"/>
  <c r="K163" i="7"/>
  <c r="I50" i="22"/>
  <c r="G32" i="16"/>
  <c r="I17" i="7"/>
  <c r="I16" i="7"/>
  <c r="L161" i="7"/>
  <c r="L113" i="7"/>
  <c r="L122" i="7" s="1"/>
  <c r="L145" i="7"/>
  <c r="K40" i="7"/>
  <c r="K48" i="7"/>
  <c r="K49" i="7" s="1"/>
  <c r="H77" i="12" l="1"/>
  <c r="H83" i="22"/>
  <c r="H74" i="22" s="1"/>
  <c r="H24" i="23" s="1"/>
  <c r="J40" i="25" s="1"/>
  <c r="J41" i="25" s="1"/>
  <c r="L53" i="6"/>
  <c r="K27" i="22"/>
  <c r="J125" i="7"/>
  <c r="J126" i="7" s="1"/>
  <c r="I141" i="7"/>
  <c r="I20" i="7" s="1"/>
  <c r="I18" i="7"/>
  <c r="H95" i="11" s="1"/>
  <c r="J206" i="7"/>
  <c r="K194" i="7"/>
  <c r="K179" i="7"/>
  <c r="I51" i="22"/>
  <c r="K187" i="7"/>
  <c r="K189" i="7" s="1"/>
  <c r="L146" i="7"/>
  <c r="L169" i="7"/>
  <c r="L170" i="7"/>
  <c r="L172" i="7" s="1"/>
  <c r="L153" i="7"/>
  <c r="L154" i="7"/>
  <c r="L156" i="7" s="1"/>
  <c r="L124" i="7"/>
  <c r="K174" i="7"/>
  <c r="L121" i="7"/>
  <c r="K23" i="22" s="1"/>
  <c r="D10" i="24"/>
  <c r="D8" i="24"/>
  <c r="I30" i="19"/>
  <c r="I17" i="20" s="1"/>
  <c r="K14" i="25" s="1"/>
  <c r="K15" i="25" s="1"/>
  <c r="C8" i="24"/>
  <c r="F12" i="10"/>
  <c r="F15" i="10" s="1"/>
  <c r="F10" i="14" s="1"/>
  <c r="F16" i="14" s="1"/>
  <c r="F61" i="12"/>
  <c r="M177" i="7"/>
  <c r="K28" i="11"/>
  <c r="J30" i="11"/>
  <c r="E23" i="10"/>
  <c r="E27" i="10" s="1"/>
  <c r="E33" i="10" s="1"/>
  <c r="E32" i="10" s="1"/>
  <c r="G18" i="25" s="1"/>
  <c r="G19" i="25" s="1"/>
  <c r="E108" i="19"/>
  <c r="E106" i="19" s="1"/>
  <c r="E103" i="19" s="1"/>
  <c r="E37" i="20" s="1"/>
  <c r="E59" i="12"/>
  <c r="E62" i="12" s="1"/>
  <c r="E10" i="14"/>
  <c r="E16" i="14" s="1"/>
  <c r="M78" i="5"/>
  <c r="M81" i="5" s="1"/>
  <c r="L18" i="10"/>
  <c r="L109" i="19" s="1"/>
  <c r="K29" i="11"/>
  <c r="L73" i="10"/>
  <c r="K78" i="10"/>
  <c r="K84" i="10" s="1"/>
  <c r="I31" i="11"/>
  <c r="I12" i="15" s="1"/>
  <c r="I21" i="15" s="1"/>
  <c r="I72" i="12"/>
  <c r="J23" i="19"/>
  <c r="J22" i="19" s="1"/>
  <c r="J41" i="19"/>
  <c r="J43" i="21"/>
  <c r="J39" i="21" s="1"/>
  <c r="L42" i="25" s="1"/>
  <c r="L43" i="25" s="1"/>
  <c r="J34" i="19"/>
  <c r="J33" i="19" s="1"/>
  <c r="J15" i="19"/>
  <c r="J12" i="14"/>
  <c r="J94" i="10"/>
  <c r="J93" i="10" s="1"/>
  <c r="K25" i="11"/>
  <c r="K11" i="16"/>
  <c r="K14" i="16" s="1"/>
  <c r="K12" i="13"/>
  <c r="K19" i="13" s="1"/>
  <c r="L147" i="7"/>
  <c r="J49" i="22"/>
  <c r="G65" i="12"/>
  <c r="G78" i="12" s="1"/>
  <c r="G42" i="13"/>
  <c r="G39" i="13"/>
  <c r="G93" i="11"/>
  <c r="G96" i="11" s="1"/>
  <c r="G29" i="15" s="1"/>
  <c r="H89" i="11"/>
  <c r="H20" i="16"/>
  <c r="H26" i="13"/>
  <c r="H70" i="19" s="1"/>
  <c r="L99" i="7"/>
  <c r="J129" i="7"/>
  <c r="I19" i="7"/>
  <c r="I22" i="7" s="1"/>
  <c r="K109" i="7"/>
  <c r="L100" i="7" s="1"/>
  <c r="L39" i="7"/>
  <c r="H50" i="14" l="1"/>
  <c r="I77" i="12"/>
  <c r="J130" i="7"/>
  <c r="J9" i="7" s="1"/>
  <c r="I142" i="7"/>
  <c r="H48" i="22" s="1"/>
  <c r="H46" i="22" s="1"/>
  <c r="H32" i="22" s="1"/>
  <c r="H15" i="23" s="1"/>
  <c r="J36" i="25" s="1"/>
  <c r="J37" i="25" s="1"/>
  <c r="K114" i="7"/>
  <c r="K123" i="7" s="1"/>
  <c r="I23" i="7"/>
  <c r="L51" i="6"/>
  <c r="K25" i="22"/>
  <c r="L52" i="6"/>
  <c r="K26" i="22"/>
  <c r="K203" i="7"/>
  <c r="K205" i="7" s="1"/>
  <c r="K195" i="7"/>
  <c r="I52" i="22"/>
  <c r="L178" i="7"/>
  <c r="K190" i="7"/>
  <c r="L171" i="7"/>
  <c r="L173" i="7" s="1"/>
  <c r="M162" i="7" s="1"/>
  <c r="L155" i="7"/>
  <c r="L157" i="7" s="1"/>
  <c r="K115" i="7"/>
  <c r="I53" i="22"/>
  <c r="L107" i="7"/>
  <c r="L47" i="6" s="1"/>
  <c r="L108" i="7"/>
  <c r="M185" i="7"/>
  <c r="M186" i="7"/>
  <c r="J138" i="7"/>
  <c r="J140" i="7" s="1"/>
  <c r="G24" i="25"/>
  <c r="G25" i="25" s="1"/>
  <c r="L48" i="6"/>
  <c r="K110" i="7"/>
  <c r="J137" i="7"/>
  <c r="F59" i="12"/>
  <c r="F62" i="12" s="1"/>
  <c r="F108" i="19"/>
  <c r="F106" i="19" s="1"/>
  <c r="F103" i="19" s="1"/>
  <c r="F37" i="20" s="1"/>
  <c r="H24" i="25" s="1"/>
  <c r="H25" i="25" s="1"/>
  <c r="F23" i="10"/>
  <c r="F27" i="10" s="1"/>
  <c r="F33" i="10" s="1"/>
  <c r="F32" i="10" s="1"/>
  <c r="H18" i="25" s="1"/>
  <c r="H19" i="25" s="1"/>
  <c r="L29" i="11"/>
  <c r="L78" i="10"/>
  <c r="L84" i="10" s="1"/>
  <c r="L25" i="11"/>
  <c r="L12" i="13"/>
  <c r="L11" i="16"/>
  <c r="L14" i="16" s="1"/>
  <c r="E13" i="21"/>
  <c r="E12" i="21" s="1"/>
  <c r="E9" i="21" s="1"/>
  <c r="E49" i="19"/>
  <c r="E48" i="19" s="1"/>
  <c r="E45" i="19" s="1"/>
  <c r="E21" i="20" s="1"/>
  <c r="E29" i="14"/>
  <c r="E46" i="14" s="1"/>
  <c r="E51" i="14" s="1"/>
  <c r="E49" i="14" s="1"/>
  <c r="E10" i="24" s="1"/>
  <c r="J31" i="11"/>
  <c r="J12" i="15" s="1"/>
  <c r="J21" i="15" s="1"/>
  <c r="J72" i="12"/>
  <c r="K34" i="19"/>
  <c r="K33" i="19" s="1"/>
  <c r="K15" i="19"/>
  <c r="K43" i="21"/>
  <c r="K39" i="21" s="1"/>
  <c r="M42" i="25" s="1"/>
  <c r="M43" i="25" s="1"/>
  <c r="K41" i="19"/>
  <c r="K23" i="19"/>
  <c r="K22" i="19" s="1"/>
  <c r="K12" i="14"/>
  <c r="K94" i="10"/>
  <c r="K93" i="10" s="1"/>
  <c r="J30" i="19"/>
  <c r="J17" i="20" s="1"/>
  <c r="L14" i="25" s="1"/>
  <c r="L15" i="25" s="1"/>
  <c r="L28" i="11"/>
  <c r="K30" i="11"/>
  <c r="G34" i="16"/>
  <c r="G38" i="16" s="1"/>
  <c r="G40" i="16" s="1"/>
  <c r="G42" i="16" s="1"/>
  <c r="G30" i="15"/>
  <c r="G40" i="15" s="1"/>
  <c r="G44" i="15" s="1"/>
  <c r="H42" i="15" s="1"/>
  <c r="G23" i="15"/>
  <c r="L163" i="7"/>
  <c r="J50" i="22"/>
  <c r="F13" i="21"/>
  <c r="F12" i="21" s="1"/>
  <c r="F9" i="21" s="1"/>
  <c r="F49" i="19"/>
  <c r="F48" i="19" s="1"/>
  <c r="F45" i="19" s="1"/>
  <c r="F21" i="20" s="1"/>
  <c r="H20" i="25" s="1"/>
  <c r="H21" i="25" s="1"/>
  <c r="F29" i="14"/>
  <c r="F46" i="14" s="1"/>
  <c r="H30" i="13"/>
  <c r="H32" i="13" s="1"/>
  <c r="H67" i="12"/>
  <c r="H30" i="16"/>
  <c r="H22" i="16"/>
  <c r="H24" i="16" s="1"/>
  <c r="H28" i="16" s="1"/>
  <c r="M113" i="7"/>
  <c r="M122" i="7" s="1"/>
  <c r="J8" i="7"/>
  <c r="M145" i="7"/>
  <c r="M161" i="7"/>
  <c r="L40" i="7"/>
  <c r="L48" i="7"/>
  <c r="L49" i="7" s="1"/>
  <c r="M188" i="7" l="1"/>
  <c r="L19" i="13"/>
  <c r="J77" i="12"/>
  <c r="I21" i="7"/>
  <c r="H90" i="11" s="1"/>
  <c r="J131" i="7"/>
  <c r="J10" i="7" s="1"/>
  <c r="J50" i="6"/>
  <c r="J58" i="6" s="1"/>
  <c r="I88" i="11" s="1"/>
  <c r="I24" i="22"/>
  <c r="I22" i="22" s="1"/>
  <c r="I9" i="22" s="1"/>
  <c r="I10" i="23" s="1"/>
  <c r="K34" i="25" s="1"/>
  <c r="K35" i="25" s="1"/>
  <c r="M53" i="6"/>
  <c r="L27" i="22"/>
  <c r="K125" i="7"/>
  <c r="K126" i="7" s="1"/>
  <c r="L194" i="7"/>
  <c r="K206" i="7"/>
  <c r="L179" i="7"/>
  <c r="J51" i="22"/>
  <c r="L187" i="7"/>
  <c r="L189" i="7" s="1"/>
  <c r="J139" i="7"/>
  <c r="L174" i="7"/>
  <c r="M163" i="7" s="1"/>
  <c r="M169" i="7"/>
  <c r="M170" i="7"/>
  <c r="M153" i="7"/>
  <c r="M154" i="7"/>
  <c r="M124" i="7"/>
  <c r="G20" i="25"/>
  <c r="G21" i="25" s="1"/>
  <c r="M146" i="7"/>
  <c r="L158" i="7"/>
  <c r="M121" i="7"/>
  <c r="L23" i="22" s="1"/>
  <c r="E8" i="24"/>
  <c r="K30" i="19"/>
  <c r="K17" i="20" s="1"/>
  <c r="M14" i="25" s="1"/>
  <c r="M15" i="25" s="1"/>
  <c r="L43" i="21"/>
  <c r="L39" i="21" s="1"/>
  <c r="N42" i="25" s="1"/>
  <c r="N43" i="25" s="1"/>
  <c r="L23" i="19"/>
  <c r="L22" i="19" s="1"/>
  <c r="K31" i="11"/>
  <c r="K12" i="15" s="1"/>
  <c r="K21" i="15" s="1"/>
  <c r="K72" i="12"/>
  <c r="L12" i="14"/>
  <c r="L94" i="10"/>
  <c r="L93" i="10" s="1"/>
  <c r="L30" i="11"/>
  <c r="L72" i="12" s="1"/>
  <c r="L101" i="7"/>
  <c r="F51" i="14"/>
  <c r="F49" i="14" s="1"/>
  <c r="F10" i="24" s="1"/>
  <c r="H37" i="13"/>
  <c r="H67" i="19" s="1"/>
  <c r="H66" i="19" s="1"/>
  <c r="H63" i="19" s="1"/>
  <c r="J28" i="25" s="1"/>
  <c r="H19" i="19"/>
  <c r="H14" i="19" s="1"/>
  <c r="H10" i="19" s="1"/>
  <c r="H11" i="20" s="1"/>
  <c r="J12" i="25" s="1"/>
  <c r="J13" i="25" s="1"/>
  <c r="H32" i="16"/>
  <c r="J16" i="7"/>
  <c r="M99" i="7"/>
  <c r="J17" i="7"/>
  <c r="L109" i="7"/>
  <c r="M100" i="7" s="1"/>
  <c r="M39" i="7"/>
  <c r="L41" i="19" l="1"/>
  <c r="L26" i="22"/>
  <c r="L15" i="19"/>
  <c r="L34" i="19"/>
  <c r="L33" i="19" s="1"/>
  <c r="L30" i="19" s="1"/>
  <c r="L17" i="20" s="1"/>
  <c r="N14" i="25" s="1"/>
  <c r="N15" i="25" s="1"/>
  <c r="M172" i="7"/>
  <c r="M156" i="7"/>
  <c r="G12" i="10"/>
  <c r="G15" i="10" s="1"/>
  <c r="G59" i="12" s="1"/>
  <c r="G61" i="12"/>
  <c r="K77" i="12"/>
  <c r="H22" i="14"/>
  <c r="H27" i="14" s="1"/>
  <c r="L114" i="7"/>
  <c r="L123" i="7" s="1"/>
  <c r="I83" i="22"/>
  <c r="I74" i="22" s="1"/>
  <c r="I24" i="23" s="1"/>
  <c r="K40" i="25" s="1"/>
  <c r="K41" i="25" s="1"/>
  <c r="M51" i="6"/>
  <c r="L25" i="22"/>
  <c r="J141" i="7"/>
  <c r="J142" i="7" s="1"/>
  <c r="I48" i="22" s="1"/>
  <c r="I46" i="22" s="1"/>
  <c r="I32" i="22" s="1"/>
  <c r="I15" i="23" s="1"/>
  <c r="K36" i="25" s="1"/>
  <c r="K37" i="25" s="1"/>
  <c r="J18" i="7"/>
  <c r="I95" i="11" s="1"/>
  <c r="J52" i="22"/>
  <c r="L195" i="7"/>
  <c r="L203" i="7"/>
  <c r="L205" i="7" s="1"/>
  <c r="M178" i="7"/>
  <c r="L190" i="7"/>
  <c r="M171" i="7"/>
  <c r="K50" i="22"/>
  <c r="M155" i="7"/>
  <c r="J53" i="22"/>
  <c r="L115" i="7"/>
  <c r="M107" i="7"/>
  <c r="M47" i="6" s="1"/>
  <c r="M108" i="7"/>
  <c r="M52" i="6"/>
  <c r="M48" i="6"/>
  <c r="L110" i="7"/>
  <c r="L31" i="11"/>
  <c r="L12" i="15" s="1"/>
  <c r="L21" i="15" s="1"/>
  <c r="F8" i="24"/>
  <c r="H93" i="11"/>
  <c r="H96" i="11" s="1"/>
  <c r="H29" i="15" s="1"/>
  <c r="I89" i="11"/>
  <c r="H65" i="12"/>
  <c r="H78" i="12" s="1"/>
  <c r="H39" i="13"/>
  <c r="H42" i="13"/>
  <c r="M147" i="7"/>
  <c r="K49" i="22"/>
  <c r="I20" i="16"/>
  <c r="K129" i="7"/>
  <c r="J19" i="7"/>
  <c r="J22" i="7" s="1"/>
  <c r="I26" i="13"/>
  <c r="I70" i="19" s="1"/>
  <c r="M40" i="7"/>
  <c r="M48" i="7"/>
  <c r="M49" i="7" s="1"/>
  <c r="M173" i="7" l="1"/>
  <c r="M157" i="7"/>
  <c r="I50" i="14"/>
  <c r="G62" i="12"/>
  <c r="G23" i="10"/>
  <c r="G27" i="10" s="1"/>
  <c r="G33" i="10" s="1"/>
  <c r="G10" i="14"/>
  <c r="G16" i="14" s="1"/>
  <c r="G29" i="14" s="1"/>
  <c r="G46" i="14" s="1"/>
  <c r="G108" i="19"/>
  <c r="G106" i="19" s="1"/>
  <c r="G103" i="19" s="1"/>
  <c r="G37" i="20" s="1"/>
  <c r="I24" i="25" s="1"/>
  <c r="I25" i="25" s="1"/>
  <c r="L77" i="12"/>
  <c r="K130" i="7"/>
  <c r="J20" i="7"/>
  <c r="J23" i="7" s="1"/>
  <c r="L125" i="7"/>
  <c r="L126" i="7" s="1"/>
  <c r="M109" i="7"/>
  <c r="M110" i="7" s="1"/>
  <c r="L206" i="7"/>
  <c r="M194" i="7"/>
  <c r="K51" i="22"/>
  <c r="M179" i="7"/>
  <c r="M187" i="7"/>
  <c r="K9" i="7"/>
  <c r="K138" i="7"/>
  <c r="K140" i="7" s="1"/>
  <c r="M174" i="7"/>
  <c r="M158" i="7"/>
  <c r="K137" i="7"/>
  <c r="H34" i="16"/>
  <c r="H38" i="16" s="1"/>
  <c r="H40" i="16" s="1"/>
  <c r="H42" i="16" s="1"/>
  <c r="H30" i="15"/>
  <c r="H40" i="15" s="1"/>
  <c r="H44" i="15" s="1"/>
  <c r="I42" i="15" s="1"/>
  <c r="H23" i="15"/>
  <c r="I30" i="13"/>
  <c r="I32" i="13" s="1"/>
  <c r="I67" i="12"/>
  <c r="M101" i="7"/>
  <c r="I30" i="16"/>
  <c r="I22" i="16"/>
  <c r="I24" i="16" s="1"/>
  <c r="I28" i="16" s="1"/>
  <c r="K131" i="7"/>
  <c r="K10" i="7" s="1"/>
  <c r="J21" i="7"/>
  <c r="K8" i="7"/>
  <c r="M189" i="7" l="1"/>
  <c r="L50" i="22"/>
  <c r="L49" i="22"/>
  <c r="G32" i="10"/>
  <c r="I18" i="25" s="1"/>
  <c r="I19" i="25" s="1"/>
  <c r="G13" i="21"/>
  <c r="G12" i="21" s="1"/>
  <c r="G9" i="21" s="1"/>
  <c r="G49" i="19"/>
  <c r="G48" i="19" s="1"/>
  <c r="G45" i="19" s="1"/>
  <c r="G21" i="20" s="1"/>
  <c r="I20" i="25" s="1"/>
  <c r="I21" i="25" s="1"/>
  <c r="M114" i="7"/>
  <c r="M123" i="7" s="1"/>
  <c r="K50" i="6"/>
  <c r="K58" i="6" s="1"/>
  <c r="J88" i="11" s="1"/>
  <c r="J24" i="22"/>
  <c r="J22" i="22" s="1"/>
  <c r="J9" i="22" s="1"/>
  <c r="J10" i="23" s="1"/>
  <c r="L34" i="25" s="1"/>
  <c r="L35" i="25" s="1"/>
  <c r="M203" i="7"/>
  <c r="K52" i="22"/>
  <c r="M195" i="7"/>
  <c r="K139" i="7"/>
  <c r="M115" i="7"/>
  <c r="K53" i="22"/>
  <c r="I37" i="13"/>
  <c r="I67" i="19" s="1"/>
  <c r="I66" i="19" s="1"/>
  <c r="I63" i="19" s="1"/>
  <c r="K28" i="25" s="1"/>
  <c r="I19" i="19"/>
  <c r="I14" i="19" s="1"/>
  <c r="I10" i="19" s="1"/>
  <c r="I11" i="20" s="1"/>
  <c r="K12" i="25" s="1"/>
  <c r="K13" i="25" s="1"/>
  <c r="I22" i="14"/>
  <c r="I27" i="14" s="1"/>
  <c r="I90" i="11"/>
  <c r="G51" i="14"/>
  <c r="G49" i="14" s="1"/>
  <c r="G10" i="24" s="1"/>
  <c r="I32" i="16"/>
  <c r="K17" i="7"/>
  <c r="K16" i="7"/>
  <c r="M205" i="7" l="1"/>
  <c r="M190" i="7"/>
  <c r="H61" i="12"/>
  <c r="H12" i="10"/>
  <c r="H15" i="10" s="1"/>
  <c r="H59" i="12" s="1"/>
  <c r="J83" i="22"/>
  <c r="J74" i="22" s="1"/>
  <c r="J24" i="23" s="1"/>
  <c r="L40" i="25" s="1"/>
  <c r="L41" i="25" s="1"/>
  <c r="K141" i="7"/>
  <c r="K142" i="7" s="1"/>
  <c r="J48" i="22" s="1"/>
  <c r="J46" i="22" s="1"/>
  <c r="J32" i="22" s="1"/>
  <c r="J15" i="23" s="1"/>
  <c r="L36" i="25" s="1"/>
  <c r="L37" i="25" s="1"/>
  <c r="K18" i="7"/>
  <c r="J95" i="11" s="1"/>
  <c r="M125" i="7"/>
  <c r="M126" i="7" s="1"/>
  <c r="L53" i="22" s="1"/>
  <c r="G8" i="24"/>
  <c r="I93" i="11"/>
  <c r="I96" i="11" s="1"/>
  <c r="I29" i="15" s="1"/>
  <c r="J89" i="11"/>
  <c r="I65" i="12"/>
  <c r="I78" i="12" s="1"/>
  <c r="I42" i="13"/>
  <c r="I39" i="13"/>
  <c r="J20" i="16"/>
  <c r="L129" i="7"/>
  <c r="K19" i="7"/>
  <c r="K22" i="7" s="1"/>
  <c r="J26" i="13"/>
  <c r="J70" i="19" s="1"/>
  <c r="M206" i="7" l="1"/>
  <c r="L51" i="22"/>
  <c r="J50" i="14"/>
  <c r="K20" i="7"/>
  <c r="K23" i="7" s="1"/>
  <c r="H62" i="12"/>
  <c r="H23" i="10"/>
  <c r="H27" i="10" s="1"/>
  <c r="H33" i="10" s="1"/>
  <c r="H32" i="10" s="1"/>
  <c r="J18" i="25" s="1"/>
  <c r="J19" i="25" s="1"/>
  <c r="H10" i="14"/>
  <c r="H16" i="14" s="1"/>
  <c r="H13" i="21" s="1"/>
  <c r="H12" i="21" s="1"/>
  <c r="H9" i="21" s="1"/>
  <c r="H108" i="19"/>
  <c r="H106" i="19" s="1"/>
  <c r="H103" i="19" s="1"/>
  <c r="H37" i="20" s="1"/>
  <c r="J24" i="25" s="1"/>
  <c r="J25" i="25" s="1"/>
  <c r="L130" i="7"/>
  <c r="L9" i="7" s="1"/>
  <c r="L138" i="7"/>
  <c r="L140" i="7" s="1"/>
  <c r="L137" i="7"/>
  <c r="J30" i="13"/>
  <c r="J32" i="13" s="1"/>
  <c r="J67" i="12"/>
  <c r="I34" i="16"/>
  <c r="I38" i="16" s="1"/>
  <c r="I40" i="16" s="1"/>
  <c r="I42" i="16" s="1"/>
  <c r="I30" i="15"/>
  <c r="I40" i="15" s="1"/>
  <c r="I44" i="15" s="1"/>
  <c r="J42" i="15" s="1"/>
  <c r="I23" i="15"/>
  <c r="J30" i="16"/>
  <c r="J22" i="16"/>
  <c r="J24" i="16" s="1"/>
  <c r="J28" i="16" s="1"/>
  <c r="L8" i="7"/>
  <c r="L131" i="7"/>
  <c r="L10" i="7" s="1"/>
  <c r="K21" i="7"/>
  <c r="L52" i="22" l="1"/>
  <c r="H49" i="19"/>
  <c r="H48" i="19" s="1"/>
  <c r="H45" i="19" s="1"/>
  <c r="H21" i="20" s="1"/>
  <c r="J20" i="25" s="1"/>
  <c r="J21" i="25" s="1"/>
  <c r="H29" i="14"/>
  <c r="H46" i="14" s="1"/>
  <c r="H51" i="14" s="1"/>
  <c r="H49" i="14" s="1"/>
  <c r="H10" i="24" s="1"/>
  <c r="L50" i="6"/>
  <c r="L58" i="6" s="1"/>
  <c r="K88" i="11" s="1"/>
  <c r="K24" i="22"/>
  <c r="K22" i="22" s="1"/>
  <c r="K9" i="22" s="1"/>
  <c r="K10" i="23" s="1"/>
  <c r="M34" i="25" s="1"/>
  <c r="M35" i="25" s="1"/>
  <c r="L139" i="7"/>
  <c r="J22" i="14"/>
  <c r="J27" i="14" s="1"/>
  <c r="J90" i="11"/>
  <c r="J37" i="13"/>
  <c r="J67" i="19" s="1"/>
  <c r="J66" i="19" s="1"/>
  <c r="J63" i="19" s="1"/>
  <c r="L28" i="25" s="1"/>
  <c r="J19" i="19"/>
  <c r="J14" i="19" s="1"/>
  <c r="J10" i="19" s="1"/>
  <c r="J11" i="20" s="1"/>
  <c r="L12" i="25" s="1"/>
  <c r="L13" i="25" s="1"/>
  <c r="J32" i="16"/>
  <c r="L17" i="7"/>
  <c r="L16" i="7"/>
  <c r="I61" i="12" l="1"/>
  <c r="I12" i="10"/>
  <c r="I15" i="10" s="1"/>
  <c r="I59" i="12" s="1"/>
  <c r="K83" i="22"/>
  <c r="K74" i="22" s="1"/>
  <c r="K24" i="23" s="1"/>
  <c r="M40" i="25" s="1"/>
  <c r="M41" i="25" s="1"/>
  <c r="L141" i="7"/>
  <c r="L142" i="7" s="1"/>
  <c r="K48" i="22" s="1"/>
  <c r="K46" i="22" s="1"/>
  <c r="K32" i="22" s="1"/>
  <c r="K15" i="23" s="1"/>
  <c r="M36" i="25" s="1"/>
  <c r="M37" i="25" s="1"/>
  <c r="L18" i="7"/>
  <c r="K95" i="11" s="1"/>
  <c r="H8" i="24"/>
  <c r="J65" i="12"/>
  <c r="J78" i="12" s="1"/>
  <c r="J39" i="13"/>
  <c r="J42" i="13"/>
  <c r="J93" i="11"/>
  <c r="J96" i="11" s="1"/>
  <c r="J29" i="15" s="1"/>
  <c r="K89" i="11"/>
  <c r="K20" i="16"/>
  <c r="K26" i="13"/>
  <c r="K70" i="19" s="1"/>
  <c r="M129" i="7"/>
  <c r="L19" i="7"/>
  <c r="L22" i="7" s="1"/>
  <c r="K50" i="14" l="1"/>
  <c r="I62" i="12"/>
  <c r="I108" i="19"/>
  <c r="I106" i="19" s="1"/>
  <c r="I103" i="19" s="1"/>
  <c r="I37" i="20" s="1"/>
  <c r="K24" i="25" s="1"/>
  <c r="K25" i="25" s="1"/>
  <c r="I10" i="14"/>
  <c r="I16" i="14" s="1"/>
  <c r="I13" i="21" s="1"/>
  <c r="I12" i="21" s="1"/>
  <c r="I9" i="21" s="1"/>
  <c r="I23" i="10"/>
  <c r="I27" i="10" s="1"/>
  <c r="I33" i="10" s="1"/>
  <c r="I32" i="10" s="1"/>
  <c r="K18" i="25" s="1"/>
  <c r="K19" i="25" s="1"/>
  <c r="L20" i="7"/>
  <c r="L23" i="7" s="1"/>
  <c r="M130" i="7"/>
  <c r="M138" i="7"/>
  <c r="M137" i="7"/>
  <c r="J34" i="16"/>
  <c r="J38" i="16" s="1"/>
  <c r="J40" i="16" s="1"/>
  <c r="J42" i="16" s="1"/>
  <c r="J30" i="15"/>
  <c r="J40" i="15" s="1"/>
  <c r="J44" i="15" s="1"/>
  <c r="K42" i="15" s="1"/>
  <c r="J23" i="15"/>
  <c r="K30" i="13"/>
  <c r="K32" i="13" s="1"/>
  <c r="K67" i="12"/>
  <c r="K30" i="16"/>
  <c r="K22" i="16"/>
  <c r="K24" i="16" s="1"/>
  <c r="K28" i="16" s="1"/>
  <c r="M131" i="7"/>
  <c r="L21" i="7"/>
  <c r="M8" i="7"/>
  <c r="M140" i="7" l="1"/>
  <c r="M9" i="7"/>
  <c r="M10" i="7"/>
  <c r="I29" i="14"/>
  <c r="I46" i="14" s="1"/>
  <c r="I51" i="14" s="1"/>
  <c r="I49" i="14" s="1"/>
  <c r="I10" i="24" s="1"/>
  <c r="I49" i="19"/>
  <c r="I48" i="19" s="1"/>
  <c r="I45" i="19" s="1"/>
  <c r="I21" i="20" s="1"/>
  <c r="K20" i="25" s="1"/>
  <c r="K21" i="25" s="1"/>
  <c r="M50" i="6"/>
  <c r="M58" i="6" s="1"/>
  <c r="L88" i="11" s="1"/>
  <c r="L24" i="22"/>
  <c r="L22" i="22" s="1"/>
  <c r="L9" i="22" s="1"/>
  <c r="L10" i="23" s="1"/>
  <c r="N34" i="25" s="1"/>
  <c r="N35" i="25" s="1"/>
  <c r="M139" i="7"/>
  <c r="K22" i="14"/>
  <c r="K27" i="14" s="1"/>
  <c r="K90" i="11"/>
  <c r="K37" i="13"/>
  <c r="K67" i="19" s="1"/>
  <c r="K66" i="19" s="1"/>
  <c r="K63" i="19" s="1"/>
  <c r="M28" i="25" s="1"/>
  <c r="K19" i="19"/>
  <c r="K14" i="19" s="1"/>
  <c r="K10" i="19" s="1"/>
  <c r="K11" i="20" s="1"/>
  <c r="M12" i="25" s="1"/>
  <c r="M13" i="25" s="1"/>
  <c r="K32" i="16"/>
  <c r="M17" i="7"/>
  <c r="M16" i="7"/>
  <c r="J12" i="10" l="1"/>
  <c r="J15" i="10" s="1"/>
  <c r="J10" i="14" s="1"/>
  <c r="J16" i="14" s="1"/>
  <c r="J61" i="12"/>
  <c r="L83" i="22"/>
  <c r="L74" i="22" s="1"/>
  <c r="L24" i="23" s="1"/>
  <c r="N40" i="25" s="1"/>
  <c r="N41" i="25" s="1"/>
  <c r="M141" i="7"/>
  <c r="M18" i="7"/>
  <c r="K65" i="12"/>
  <c r="K78" i="12" s="1"/>
  <c r="K39" i="13"/>
  <c r="K42" i="13"/>
  <c r="I8" i="24"/>
  <c r="K93" i="11"/>
  <c r="K96" i="11" s="1"/>
  <c r="K29" i="15" s="1"/>
  <c r="L89" i="11"/>
  <c r="L20" i="16"/>
  <c r="L26" i="13"/>
  <c r="M19" i="7"/>
  <c r="L70" i="19" l="1"/>
  <c r="M20" i="7"/>
  <c r="L95" i="11"/>
  <c r="M22" i="7"/>
  <c r="L50" i="14"/>
  <c r="J108" i="19"/>
  <c r="J106" i="19" s="1"/>
  <c r="J103" i="19" s="1"/>
  <c r="J37" i="20" s="1"/>
  <c r="L24" i="25" s="1"/>
  <c r="L25" i="25" s="1"/>
  <c r="J59" i="12"/>
  <c r="J62" i="12" s="1"/>
  <c r="J23" i="10"/>
  <c r="J27" i="10" s="1"/>
  <c r="J33" i="10" s="1"/>
  <c r="J32" i="10" s="1"/>
  <c r="L18" i="25" s="1"/>
  <c r="L19" i="25" s="1"/>
  <c r="M142" i="7"/>
  <c r="L30" i="13"/>
  <c r="L67" i="12"/>
  <c r="K34" i="16"/>
  <c r="K38" i="16" s="1"/>
  <c r="K40" i="16" s="1"/>
  <c r="K42" i="16" s="1"/>
  <c r="K30" i="15"/>
  <c r="K40" i="15" s="1"/>
  <c r="K44" i="15" s="1"/>
  <c r="L42" i="15" s="1"/>
  <c r="K23" i="15"/>
  <c r="J49" i="19"/>
  <c r="J48" i="19" s="1"/>
  <c r="J45" i="19" s="1"/>
  <c r="J21" i="20" s="1"/>
  <c r="L20" i="25" s="1"/>
  <c r="L21" i="25" s="1"/>
  <c r="J13" i="21"/>
  <c r="J12" i="21" s="1"/>
  <c r="J9" i="21" s="1"/>
  <c r="J29" i="14"/>
  <c r="J46" i="14" s="1"/>
  <c r="L30" i="16"/>
  <c r="L22" i="16"/>
  <c r="L24" i="16" s="1"/>
  <c r="L28" i="16" s="1"/>
  <c r="M23" i="7" l="1"/>
  <c r="L48" i="22"/>
  <c r="L46" i="22" s="1"/>
  <c r="L32" i="22" s="1"/>
  <c r="L15" i="23" s="1"/>
  <c r="N36" i="25" s="1"/>
  <c r="N37" i="25" s="1"/>
  <c r="L32" i="13"/>
  <c r="M21" i="7"/>
  <c r="J51" i="14"/>
  <c r="J49" i="14" s="1"/>
  <c r="J10" i="24" s="1"/>
  <c r="L37" i="13"/>
  <c r="L67" i="19" s="1"/>
  <c r="L66" i="19" s="1"/>
  <c r="L63" i="19" s="1"/>
  <c r="N28" i="25" s="1"/>
  <c r="L19" i="19"/>
  <c r="L14" i="19" s="1"/>
  <c r="L10" i="19" s="1"/>
  <c r="L11" i="20" s="1"/>
  <c r="N12" i="25" s="1"/>
  <c r="N13" i="25" s="1"/>
  <c r="L32" i="16"/>
  <c r="L22" i="14" l="1"/>
  <c r="L27" i="14" s="1"/>
  <c r="K12" i="10"/>
  <c r="K15" i="10" s="1"/>
  <c r="K10" i="14" s="1"/>
  <c r="K16" i="14" s="1"/>
  <c r="K61" i="12"/>
  <c r="L90" i="11"/>
  <c r="L93" i="11" s="1"/>
  <c r="L96" i="11" s="1"/>
  <c r="L29" i="15" s="1"/>
  <c r="L23" i="15" s="1"/>
  <c r="J8" i="24"/>
  <c r="L65" i="12"/>
  <c r="L78" i="12" s="1"/>
  <c r="L39" i="13"/>
  <c r="L42" i="13"/>
  <c r="K108" i="19" l="1"/>
  <c r="K106" i="19" s="1"/>
  <c r="K103" i="19" s="1"/>
  <c r="K37" i="20" s="1"/>
  <c r="M24" i="25" s="1"/>
  <c r="M25" i="25" s="1"/>
  <c r="K23" i="10"/>
  <c r="K27" i="10" s="1"/>
  <c r="K33" i="10" s="1"/>
  <c r="K32" i="10" s="1"/>
  <c r="M18" i="25" s="1"/>
  <c r="M19" i="25" s="1"/>
  <c r="K59" i="12"/>
  <c r="K62" i="12" s="1"/>
  <c r="L30" i="15"/>
  <c r="L40" i="15" s="1"/>
  <c r="L44" i="15" s="1"/>
  <c r="L34" i="16"/>
  <c r="L38" i="16" s="1"/>
  <c r="L40" i="16" s="1"/>
  <c r="L42" i="16" s="1"/>
  <c r="K13" i="21"/>
  <c r="K12" i="21" s="1"/>
  <c r="K9" i="21" s="1"/>
  <c r="K49" i="19"/>
  <c r="K48" i="19" s="1"/>
  <c r="K45" i="19" s="1"/>
  <c r="K21" i="20" s="1"/>
  <c r="M20" i="25" s="1"/>
  <c r="M21" i="25" s="1"/>
  <c r="K29" i="14"/>
  <c r="K46" i="14" s="1"/>
  <c r="K51" i="14" l="1"/>
  <c r="K49" i="14" s="1"/>
  <c r="K10" i="24" s="1"/>
  <c r="L12" i="10" l="1"/>
  <c r="L15" i="10" s="1"/>
  <c r="L61" i="12"/>
  <c r="K8" i="24"/>
  <c r="L108" i="19" l="1"/>
  <c r="L106" i="19" s="1"/>
  <c r="L103" i="19" s="1"/>
  <c r="L37" i="20" s="1"/>
  <c r="N24" i="25" s="1"/>
  <c r="N25" i="25" s="1"/>
  <c r="L10" i="14"/>
  <c r="L16" i="14" s="1"/>
  <c r="L23" i="10"/>
  <c r="L27" i="10" s="1"/>
  <c r="L33" i="10" s="1"/>
  <c r="L32" i="10" s="1"/>
  <c r="N18" i="25" s="1"/>
  <c r="N19" i="25" s="1"/>
  <c r="L59" i="12"/>
  <c r="L62" i="12" l="1"/>
  <c r="L49" i="19"/>
  <c r="L48" i="19" s="1"/>
  <c r="L45" i="19" s="1"/>
  <c r="L21" i="20" s="1"/>
  <c r="N20" i="25" s="1"/>
  <c r="N21" i="25" s="1"/>
  <c r="L29" i="14"/>
  <c r="L46" i="14" s="1"/>
  <c r="L51" i="14" s="1"/>
  <c r="L49" i="14" s="1"/>
  <c r="L10" i="24" s="1"/>
  <c r="L13" i="21"/>
  <c r="L12" i="21" s="1"/>
  <c r="L9" i="21" s="1"/>
  <c r="L8" i="24" l="1"/>
</calcChain>
</file>

<file path=xl/comments1.xml><?xml version="1.0" encoding="utf-8"?>
<comments xmlns="http://schemas.openxmlformats.org/spreadsheetml/2006/main">
  <authors>
    <author>Author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Source: Federal Budget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Cherie 4/08/2017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Average growth 409 assessments each year for last 7 years -- Cherie.</t>
        </r>
      </text>
    </comment>
    <comment ref="A22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Domestic Waste Strategy</t>
        </r>
      </text>
    </comment>
    <comment ref="A24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25% CPI + 75% Salaries</t>
        </r>
      </text>
    </comment>
    <comment ref="A30" authorId="0" shapeId="0">
      <text>
        <r>
          <rPr>
            <sz val="8"/>
            <color indexed="81"/>
            <rFont val="Tahoma"/>
            <family val="2"/>
          </rPr>
          <t xml:space="preserve">Based on Investment advisory 21-Dec-17
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 xml:space="preserve">Richard Ji:
</t>
        </r>
        <r>
          <rPr>
            <sz val="8"/>
            <color indexed="81"/>
            <rFont val="Tahoma"/>
            <family val="2"/>
          </rPr>
          <t>Use average salaries increase across last 3 years.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https://www.ato.gov.au/Rates/Key-superannuation-rates-and-thresholds/?anchor=Superguaranteepercentage#Superguaranteepercentage</t>
        </r>
      </text>
    </comment>
    <comment ref="A50" authorId="0" shapeId="0">
      <text>
        <r>
          <rPr>
            <b/>
            <sz val="8"/>
            <color indexed="81"/>
            <rFont val="Tahoma"/>
            <family val="2"/>
          </rPr>
          <t xml:space="preserve">Richard Ji:
</t>
        </r>
        <r>
          <rPr>
            <sz val="8"/>
            <color indexed="81"/>
            <rFont val="Tahoma"/>
            <family val="2"/>
          </rPr>
          <t xml:space="preserve">Deloitte Access Economics Business Outlook Dec 2014: House building materials
</t>
        </r>
      </text>
    </comment>
    <comment ref="A54" authorId="0" shapeId="0">
      <text>
        <r>
          <rPr>
            <sz val="10"/>
            <color indexed="81"/>
            <rFont val="Tahoma"/>
            <family val="2"/>
          </rPr>
          <t>Increase of 5-8% across the board -- Graham Hill from Jardine Lioyd Thompson Pty Ltd 31/01/2014
Confirmed with Sharon Plunkett 1/09/2017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IT software will all be subscription based. Assume all future years' addition same as base year.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IT software will all be subscription based. Assume all future years' addition same as base year.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2016-17 statements, assume 72% renewal, 28% new.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CPI</t>
        </r>
      </text>
    </comment>
    <comment ref="E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CPI</t>
        </r>
      </text>
    </comment>
    <comment ref="E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CPI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Apply Rate Increase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B10" authorId="0" shapeId="0">
      <text>
        <r>
          <rPr>
            <sz val="9"/>
            <color indexed="81"/>
            <rFont val="Tahoma"/>
            <family val="2"/>
          </rPr>
          <t>From 2016/17 Financial Statements Note 7 2016 balance</t>
        </r>
      </text>
    </comment>
    <comment ref="B17" authorId="0" shapeId="0">
      <text>
        <r>
          <rPr>
            <sz val="9"/>
            <color indexed="81"/>
            <rFont val="Tahoma"/>
            <family val="2"/>
          </rPr>
          <t>From 2016/17 Financial Statements Note 7 2016 balance</t>
        </r>
      </text>
    </comment>
    <comment ref="B19" authorId="0" shapeId="0">
      <text>
        <r>
          <rPr>
            <sz val="9"/>
            <color indexed="81"/>
            <rFont val="Tahoma"/>
            <family val="2"/>
          </rPr>
          <t>From 2016/17 Financial Statements Note 10 2016 balance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7 2016 balance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7 2016 balance</t>
        </r>
      </text>
    </comment>
    <comment ref="B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7 2016 balance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10 2016 balance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7 2016 balance</t>
        </r>
      </text>
    </comment>
    <comment ref="B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10 2016 balance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8 &amp; 10 2016 balance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8 &amp; 10 2016 balance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7 2016 balance</t>
        </r>
      </text>
    </comment>
    <comment ref="B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9 2017 balance</t>
        </r>
      </text>
    </comment>
    <comment ref="B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2016/17 Financial Statements Note 10 2016 balance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A9" authorId="0" shapeId="0">
      <text>
        <r>
          <rPr>
            <sz val="9"/>
            <color indexed="81"/>
            <rFont val="Tahoma"/>
            <family val="2"/>
          </rPr>
          <t>Defined benefit employees should already reach their top level. Assume award increase.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Reconcile with TB. Rounding difference.</t>
        </r>
      </text>
    </comment>
    <comment ref="A12" authorId="0" shapeId="0">
      <text>
        <r>
          <rPr>
            <sz val="9"/>
            <color indexed="81"/>
            <rFont val="Tahoma"/>
            <family val="2"/>
          </rPr>
          <t>Only award increase for casuals.</t>
        </r>
      </text>
    </comment>
    <comment ref="B13" authorId="0" shapeId="0">
      <text>
        <r>
          <rPr>
            <sz val="9"/>
            <color indexed="81"/>
            <rFont val="Tahoma"/>
            <family val="2"/>
          </rPr>
          <t>Reconcile with TB. Rounding difference.</t>
        </r>
      </text>
    </comment>
    <comment ref="B15" authorId="0" shapeId="0">
      <text>
        <r>
          <rPr>
            <sz val="9"/>
            <color indexed="81"/>
            <rFont val="Tahoma"/>
            <family val="2"/>
          </rPr>
          <t>Reconcile with TB. Rounding difference.</t>
        </r>
      </text>
    </comment>
    <comment ref="B20" authorId="0" shapeId="0">
      <text>
        <r>
          <rPr>
            <sz val="9"/>
            <color indexed="81"/>
            <rFont val="Tahoma"/>
            <family val="2"/>
          </rPr>
          <t>Reconcile with TB. Rounding difference.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Exclude 
FF000036 Randwick Library Refurbishment 2008 $2,576,813.24
FF000131 Air Conditioning Plant &amp; Elevators 669 Anzac Parade Maroubra $835,000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Premsure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is the link between capital works and cash &amp; cash equivalents.
If cash is in deficit after purchase of PP&amp;E, then sale &gt; purchase of investment securities to finance purchase of PP&amp;E. Otherwise purchase &gt; sale of investment securities to increase investment balance.
The average purchase and sale of investment securities is $60M in previous years. Purchase and sales or investment securities offset $60M.
</t>
        </r>
      </text>
    </comment>
    <comment ref="B42" authorId="0" shapeId="0">
      <text>
        <r>
          <rPr>
            <sz val="9"/>
            <color indexed="81"/>
            <rFont val="Tahoma"/>
            <family val="2"/>
          </rPr>
          <t xml:space="preserve">2016-17 Financial Statement Note 6 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35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TW increase same as DW to keep price competitive</t>
        </r>
      </text>
    </comment>
    <comment ref="B77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Increase in line with rates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Total Cash &amp; Investments X Investment Return%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Interest on Cash &amp; Cash Equivalents. Estimate to be $120k. Note that calculation using formula will cause circular reference.</t>
        </r>
      </text>
    </comment>
    <comment ref="B102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Pensioners' Subsidies has been gradually decreasing</t>
        </r>
      </text>
    </comment>
    <comment ref="B108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Pensioners' Subsidies has been gradually decreasing</t>
        </r>
      </text>
    </comment>
    <comment ref="D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2016-17 Financial Statements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15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Defined Benefit Super is gradually phasing out with policy holders retire</t>
        </r>
      </text>
    </comment>
    <comment ref="B31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Waste collection &amp; disposal contracts are CPI indexed -- Mark Bush 3/03/2014</t>
        </r>
      </text>
    </comment>
    <comment ref="B71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Councillors' Fees increase at 2.5% for past a few years. Assume CPI.</t>
        </r>
      </text>
    </comment>
    <comment ref="B72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Councillors' Fees increase at 2.5% for past a few years. Assume CPI.</t>
        </r>
      </text>
    </comment>
    <comment ref="B74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Donations increase at CPI</t>
        </r>
      </text>
    </comment>
    <comment ref="B75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Election every 4 years. Last election was held in 2012/13</t>
        </r>
      </text>
    </comment>
    <comment ref="B98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From Plant Replacement Program</t>
        </r>
      </text>
    </comment>
    <comment ref="B99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P&amp;E depreciate between 7 to 10 years. Assume WDV is 10% lower than disposal price - gain on disposal.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According to Council's Investment Policy, Cash &amp; Cash Equivalents is maintained at minimum level for Council's daily operations. The majority of cash is used to pay salaries and creditors. Assume increase in line with salaries.</t>
        </r>
      </text>
    </comment>
    <comment ref="B10" authorId="0" shapeId="0">
      <text>
        <r>
          <rPr>
            <sz val="9"/>
            <color indexed="81"/>
            <rFont val="Tahoma"/>
            <family val="2"/>
          </rPr>
          <t>Cash Assets &amp; Investments are not budgeted.
Use 2016-17 Financial Statement Note 6 figure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Cash &amp; Cash Equivalents balance derived from Cashflow Statement</t>
        </r>
      </text>
    </comment>
    <comment ref="B12" authorId="0" shapeId="0">
      <text>
        <r>
          <rPr>
            <sz val="9"/>
            <color indexed="81"/>
            <rFont val="Tahoma"/>
            <family val="2"/>
          </rPr>
          <t>Cash Assets &amp; Investments are not budgeted.
Use 2016-17 Financial Statement Note 6 figure plus current cash movement.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Balance determined by purchase and sales of investment securities in Cashflow Statement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B67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B68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69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2% of Proceeds from Disposal of Plant &amp; Equipment</t>
        </r>
      </text>
    </comment>
    <comment ref="B71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the changes of investments balance</t>
        </r>
      </text>
    </comment>
    <comment ref="B73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74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statutory charges</t>
        </r>
      </text>
    </comment>
    <comment ref="B75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76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77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81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B87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B88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B92" authorId="0" shapeId="0">
      <text>
        <r>
          <rPr>
            <sz val="9"/>
            <color indexed="81"/>
            <rFont val="Tahoma"/>
            <family val="2"/>
          </rPr>
          <t>Receivales are not budgeted.
Use 2016-17 Financial Statement Note 7 figure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rates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Materials &amp; Contracts</t>
        </r>
      </text>
    </comment>
    <comment ref="B105" authorId="0" shapeId="0">
      <text>
        <r>
          <rPr>
            <sz val="9"/>
            <color indexed="81"/>
            <rFont val="Tahoma"/>
            <family val="2"/>
          </rPr>
          <t>Inventories &amp; Other Assets are not budgeted.
Use 2016-17 Financial Statement Note 8 figure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Materials &amp; Contracts</t>
        </r>
      </text>
    </comment>
    <comment ref="B106" authorId="0" shapeId="0">
      <text>
        <r>
          <rPr>
            <sz val="9"/>
            <color indexed="81"/>
            <rFont val="Tahoma"/>
            <family val="2"/>
          </rPr>
          <t>Inventories &amp; Other Assets are not budgeted.
Use 2016-17 Financial Statement Note 8 figure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Charges &amp; Fees</t>
        </r>
      </text>
    </comment>
    <comment ref="B110" authorId="0" shapeId="0">
      <text>
        <r>
          <rPr>
            <sz val="9"/>
            <color indexed="81"/>
            <rFont val="Tahoma"/>
            <family val="2"/>
          </rPr>
          <t>Inventories &amp; Other Assets are not budgeted.
Use 2016-17 Financial Statement Note 8 figure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C24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5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6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B28" authorId="0" shapeId="0">
      <text>
        <r>
          <rPr>
            <b/>
            <sz val="10"/>
            <color indexed="81"/>
            <rFont val="Tahoma"/>
            <family val="2"/>
          </rPr>
          <t>Richard Ji:</t>
        </r>
        <r>
          <rPr>
            <sz val="10"/>
            <color indexed="81"/>
            <rFont val="Tahoma"/>
            <family val="2"/>
          </rPr>
          <t xml:space="preserve">
Assume cost is 2 times of sale price, accum depn is 110% of sales price.</t>
        </r>
      </text>
    </comment>
    <comment ref="A31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Exclude fully depreciated assets. Do Asset Enquiry and add up assets with WDV.</t>
        </r>
      </text>
    </comment>
    <comment ref="D31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Assume the base year depreciable fair value decreases by depreciation rate each year due to full depreciation.</t>
        </r>
      </text>
    </comment>
    <comment ref="C38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3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40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45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Exclude fully depreciated assets. Do Asset Enquiry and add up assets with WDV.</t>
        </r>
      </text>
    </comment>
    <comment ref="D45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Assume the base year depreciable fair value decreases by depreciation rate each year due to full depreciation.</t>
        </r>
      </text>
    </comment>
    <comment ref="C52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53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54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59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Exclude fully depreciated assets. Do Asset Enquiry and add up assets with WDV.</t>
        </r>
      </text>
    </comment>
    <comment ref="D59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Assume the base year depreciable fair value decreases by depreciation rate each year due to full depreciation.</t>
        </r>
      </text>
    </comment>
    <comment ref="C66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67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68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77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78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7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88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8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90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9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00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01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13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14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15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12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30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31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B1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Road Formation is not depreciable, which brings down overall depreciation rate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145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46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47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1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161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62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63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1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177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78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7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1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193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94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195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2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Infrastructure assets conditions don't change dramatically from year to year. Assume reval also increase accum depn proportionally.</t>
        </r>
      </text>
    </comment>
    <comment ref="C209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10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11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22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23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C224" authorId="0" shapeId="0">
      <text>
        <r>
          <rPr>
            <sz val="9"/>
            <color indexed="81"/>
            <rFont val="Tahoma"/>
            <family val="2"/>
          </rPr>
          <t>2016-17 Financial Statement Note 9a as at 30/06/2017</t>
        </r>
      </text>
    </comment>
    <comment ref="A229" authorId="0" shape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Exclude fully depreciated assets. Do Asset Enquiry and add up assets with WDV.</t>
        </r>
      </text>
    </comment>
    <comment ref="D229" authorId="0" shapeId="0">
      <text>
        <r>
          <rPr>
            <sz val="10"/>
            <color indexed="81"/>
            <rFont val="Tahoma"/>
            <family val="2"/>
          </rPr>
          <t>Assume the base year depreciable fair value decreases by depreciation rate each year due to full depreciation.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Payments to suppliers. Assume increase in line with materials.</t>
        </r>
      </text>
    </comment>
    <comment ref="B10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Payments to suppliers. Assume increase in line with materials.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Mostly rates related payments. Assume increase in line with rates.</t>
        </r>
      </text>
    </comment>
    <comment ref="B12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salaries</t>
        </r>
      </text>
    </comment>
    <comment ref="B14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materials</t>
        </r>
      </text>
    </comment>
    <comment ref="B15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user fees &amp; charges</t>
        </r>
      </text>
    </comment>
    <comment ref="B16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B20" authorId="0" shapeId="0">
      <text>
        <r>
          <rPr>
            <sz val="9"/>
            <color indexed="81"/>
            <rFont val="Tahoma"/>
            <family val="2"/>
          </rPr>
          <t>Payables are not budgeted.
Use 2016-17 Financial Statement Note 10 figure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salaries</t>
        </r>
      </text>
    </comment>
    <comment ref="B29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Frozen Sick Leave only applies to employees start before 1988. The balance of Frozen SL will gradually reduce as those employees retire. Assume unchange.</t>
        </r>
      </text>
    </comment>
    <comment ref="B30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salaries</t>
        </r>
      </text>
    </comment>
    <comment ref="B31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Only 2 employees are entitled to Gratuities. Both of them are over 70 and could retuire in any year. Assume unchange.</t>
        </r>
      </text>
    </comment>
    <comment ref="B32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Council's Leave Policy encourages employees to take Time in Lieu first. TIL balance will be recuded gradually. Assume unchange.</t>
        </r>
      </text>
    </comment>
    <comment ref="B33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salaries</t>
        </r>
      </text>
    </comment>
    <comment ref="B37" authorId="0" shapeId="0">
      <text>
        <r>
          <rPr>
            <sz val="9"/>
            <color indexed="81"/>
            <rFont val="Tahoma"/>
            <family val="2"/>
          </rPr>
          <t>Provisions are not budgeted.
Use 2016-17 Financial Statement Note 10 figure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Consists of goods &amp; services payable and ELE provision. Assume increase in line with Materials &amp; Contrats.
</t>
        </r>
      </text>
    </comment>
    <comment ref="B44" authorId="0" shapeId="0">
      <text>
        <r>
          <rPr>
            <sz val="9"/>
            <color indexed="81"/>
            <rFont val="Tahoma"/>
            <family val="2"/>
          </rPr>
          <t>Not budgeted.
Use 2016-17 Financial Statement Note 10 figure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Salaries</t>
        </r>
      </text>
    </comment>
    <comment ref="B50" authorId="0" shapeId="0">
      <text>
        <r>
          <rPr>
            <sz val="9"/>
            <color indexed="81"/>
            <rFont val="Tahoma"/>
            <family val="2"/>
          </rPr>
          <t>Not budgeted.
Use 2016-17 Financial Statement Note 10 figure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Increase in line with Materials &amp; Contracts</t>
        </r>
      </text>
    </comment>
    <comment ref="B51" authorId="0" shapeId="0">
      <text>
        <r>
          <rPr>
            <sz val="9"/>
            <color indexed="81"/>
            <rFont val="Tahoma"/>
            <family val="2"/>
          </rPr>
          <t>Not budgeted.
Use 2016-17 Financial Statement Note 10 figure</t>
        </r>
      </text>
    </comment>
    <comment ref="B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Minus opening balance in Note 8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B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  <comment ref="B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2016-17 Financial Statements Note 7 2016 figure</t>
        </r>
      </text>
    </comment>
  </commentList>
</comments>
</file>

<file path=xl/sharedStrings.xml><?xml version="1.0" encoding="utf-8"?>
<sst xmlns="http://schemas.openxmlformats.org/spreadsheetml/2006/main" count="2437" uniqueCount="1239">
  <si>
    <t>Parameters</t>
  </si>
  <si>
    <t>Model Name:</t>
  </si>
  <si>
    <t>Senario Name:</t>
  </si>
  <si>
    <t>Base Year:</t>
  </si>
  <si>
    <t>Assumptions</t>
  </si>
  <si>
    <t>Type</t>
  </si>
  <si>
    <t>Revenue</t>
  </si>
  <si>
    <t>Base Year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</si>
  <si>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</si>
  <si>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</si>
  <si>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</si>
  <si>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</si>
  <si>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</si>
  <si>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</si>
  <si>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</si>
  <si>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</si>
  <si>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</si>
  <si>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</si>
  <si>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CPI</t>
  </si>
  <si>
    <t>Rate Increase</t>
  </si>
  <si>
    <t>Minimum Rates</t>
  </si>
  <si>
    <t>Rates Assessments</t>
  </si>
  <si>
    <t>New Rates Assessments</t>
  </si>
  <si>
    <t>Rates Growth</t>
  </si>
  <si>
    <t>Total Rates Increase</t>
  </si>
  <si>
    <t>Rate Peg</t>
  </si>
  <si>
    <t>Environmental Levy</t>
  </si>
  <si>
    <t>Storm Water Levy</t>
  </si>
  <si>
    <t>User Charges &amp; Fees</t>
  </si>
  <si>
    <t>Statutory Charges</t>
  </si>
  <si>
    <t>Grants</t>
  </si>
  <si>
    <t>90 Day Bank Bills</t>
  </si>
  <si>
    <t>Target above bank bill rate</t>
  </si>
  <si>
    <t>Investment Return</t>
  </si>
  <si>
    <t>Expenses</t>
  </si>
  <si>
    <t>Total Salaries Increase</t>
  </si>
  <si>
    <t>Materials &amp; Contracts</t>
  </si>
  <si>
    <t>Insurance</t>
  </si>
  <si>
    <t>Manual Adjustments</t>
  </si>
  <si>
    <t>Ordinary Rates</t>
  </si>
  <si>
    <t>N3 - Adjust - Ordinary Rates</t>
  </si>
  <si>
    <t>Ordinary Rates Adjustment</t>
  </si>
  <si>
    <t>Special Rates</t>
  </si>
  <si>
    <t>N3 - Adjust - Special Rates</t>
  </si>
  <si>
    <t>Special Rates Adjustment</t>
  </si>
  <si>
    <t>Annual Charges</t>
  </si>
  <si>
    <t>N3 - Adjust - Annual Charges</t>
  </si>
  <si>
    <t>Annual Charges Adjustment</t>
  </si>
  <si>
    <t>Specific User Charges</t>
  </si>
  <si>
    <t>N3 - Adjust - User Charges</t>
  </si>
  <si>
    <t>User Charges Adjustment</t>
  </si>
  <si>
    <t>Other User Charges &amp; Fees</t>
  </si>
  <si>
    <t>N3 - Adjust - Statutory Fees &amp; Charges</t>
  </si>
  <si>
    <t>Statutory Fees &amp; Charges Adjustment</t>
  </si>
  <si>
    <t>Fees &amp; Charges Other</t>
  </si>
  <si>
    <t>N3 - Adjust - Other Fees &amp; Charges</t>
  </si>
  <si>
    <t>Fees &amp; Charges Other Adjustment</t>
  </si>
  <si>
    <t>Interest &amp; Dividends</t>
  </si>
  <si>
    <t>N3 - Adjust - Investment</t>
  </si>
  <si>
    <t>Interest &amp; Investment Adjustment</t>
  </si>
  <si>
    <t>Other Revenues</t>
  </si>
  <si>
    <t>N3 - Adjust - Other Revenue</t>
  </si>
  <si>
    <t>Other Revenues Adjustment</t>
  </si>
  <si>
    <t>Grants - General Purpose</t>
  </si>
  <si>
    <t>N3 - Adjust - GP Grant</t>
  </si>
  <si>
    <t>General Purpose Adjustment</t>
  </si>
  <si>
    <t>Grants - Specific Purpose</t>
  </si>
  <si>
    <t>N3 - Adjust - SP Grant</t>
  </si>
  <si>
    <t>Specific Purpose Adjustment</t>
  </si>
  <si>
    <t>Other Contributions</t>
  </si>
  <si>
    <t>N3 - Adjust - Other Contributions</t>
  </si>
  <si>
    <t>Other Contributions Adjustment</t>
  </si>
  <si>
    <t>Capital Grants - Specific Purpose</t>
  </si>
  <si>
    <t>N3 - Adjust - Capital Grant</t>
  </si>
  <si>
    <t>Capital Grants Adjustment</t>
  </si>
  <si>
    <t>Capital Contributions - Developer Contributions</t>
  </si>
  <si>
    <t>N3 - Adjust - S94</t>
  </si>
  <si>
    <t>Developer Contributions Adjustment</t>
  </si>
  <si>
    <t>Capital Contributions - Other Contributions</t>
  </si>
  <si>
    <t>N3 - Adjust - Capital Contributions</t>
  </si>
  <si>
    <t>Employee Benefits &amp; On-Costs</t>
  </si>
  <si>
    <t>N4 - Adjust - Employee Costs</t>
  </si>
  <si>
    <t>Employee Costs Adjustment</t>
  </si>
  <si>
    <t>N4 - Adjust - Materials &amp; Contracts</t>
  </si>
  <si>
    <t>Materials &amp; Contracts Adjustment</t>
  </si>
  <si>
    <t>Other Expenses</t>
  </si>
  <si>
    <t>N4 - Adjust - Other Expenses</t>
  </si>
  <si>
    <t>Other Expenses Adjustment</t>
  </si>
  <si>
    <t>Trial Balance</t>
  </si>
  <si>
    <t>Note</t>
  </si>
  <si>
    <t>Account</t>
  </si>
  <si>
    <t>Natural Account</t>
  </si>
  <si>
    <t>Original Budget
17-18</t>
  </si>
  <si>
    <t>Current Budget 17-18</t>
  </si>
  <si>
    <t>120201. Ext Restricted - S94 Interest</t>
  </si>
  <si>
    <t>120202. Ext Restricted - S94 Administration Charges</t>
  </si>
  <si>
    <t>120203. Ext Restricted - S94 Development Contributions</t>
  </si>
  <si>
    <t>120206. S94 Reserve - Places for People</t>
  </si>
  <si>
    <t>120208. S94 Reserve - Moving Around</t>
  </si>
  <si>
    <t>123001. Ext Restricted - Domestic Waste Management</t>
  </si>
  <si>
    <t>123002. Ext Restricted - Domestic Waste Plant</t>
  </si>
  <si>
    <t>123401. Ext Restricted - Stormwater Management</t>
  </si>
  <si>
    <t>123501. Ext Restricted - Environment Levy</t>
  </si>
  <si>
    <t>123802. Ext Restricted - Special Purpose Unexpended Grants</t>
  </si>
  <si>
    <t>125001. Int Restricted - Employees Leave Entitlements</t>
  </si>
  <si>
    <t>125601. Int Restricted - Election of Councillors</t>
  </si>
  <si>
    <t>125603. Int Restricted - ICT</t>
  </si>
  <si>
    <t>125608. Int Restricted - Cars &amp; LCVs Plant Replacement</t>
  </si>
  <si>
    <t>125621. Int Restricted - Operational Plant Replacement</t>
  </si>
  <si>
    <t>125622. Int Restricted - Des Renford Leisure Centre</t>
  </si>
  <si>
    <t>125625. Int Restricted - Randwick Environmental Park</t>
  </si>
  <si>
    <t>125628. Int Restricted - Building Levy</t>
  </si>
  <si>
    <t>125633. Int Restricted - Incomplete Works 13/14</t>
  </si>
  <si>
    <t>125635. Int Restricted - Incomplete Works 14/15</t>
  </si>
  <si>
    <t>125636. Int Restricted - Incomplete Works 15/16</t>
  </si>
  <si>
    <t>125640. Int Restricted - Incomplete Works 16/17</t>
  </si>
  <si>
    <t>250201. W I P - Materials</t>
  </si>
  <si>
    <t>250202. W I P - Contracts</t>
  </si>
  <si>
    <t>250203. W I P - Other</t>
  </si>
  <si>
    <t>253006. Other Structures Purchases</t>
  </si>
  <si>
    <t>253009. Library Books Purchases</t>
  </si>
  <si>
    <t>600001. Permanent Salaries All</t>
  </si>
  <si>
    <t>600002. Permanent Salaries Overtime</t>
  </si>
  <si>
    <t>600201. Casual Salaries All</t>
  </si>
  <si>
    <t>600202. Casual Salaries Overtime</t>
  </si>
  <si>
    <t>602001. SGC Superannuation</t>
  </si>
  <si>
    <t>602002. Superannuation Employer Contribution</t>
  </si>
  <si>
    <t>602201. W/Comp Premium</t>
  </si>
  <si>
    <t>602301. On Cost Expense - Annual Leave</t>
  </si>
  <si>
    <t>602401. Training - Course Costs</t>
  </si>
  <si>
    <t>602415. Training - Conferences</t>
  </si>
  <si>
    <t>602601. Employee Assistance Programs</t>
  </si>
  <si>
    <t>602602. Employee Medical Costs</t>
  </si>
  <si>
    <t>602603. Employee Travel</t>
  </si>
  <si>
    <t>602604. FBT</t>
  </si>
  <si>
    <t>602608. Employee Recognition Payments</t>
  </si>
  <si>
    <t>602609. Uniforms/Clothing</t>
  </si>
  <si>
    <t>602612. Attraction and Retention Costs</t>
  </si>
  <si>
    <t>620001. Materials</t>
  </si>
  <si>
    <t>620002. Fuel &amp; Lubricants</t>
  </si>
  <si>
    <t>620003. Plant Furniture &amp; Equipment Acquisitions</t>
  </si>
  <si>
    <t>620004. Cleaning &amp; Hygiene Materials</t>
  </si>
  <si>
    <t>620005. Toys and Teaching Aids</t>
  </si>
  <si>
    <t>620006. Food and Sustenance</t>
  </si>
  <si>
    <t>620008. Safety Materials</t>
  </si>
  <si>
    <t>620201. Contracts - Other</t>
  </si>
  <si>
    <t>620202. Labour Hire / Agency Staff</t>
  </si>
  <si>
    <t>620203. External Repairs &amp; Maintenance</t>
  </si>
  <si>
    <t>620205. Security Services</t>
  </si>
  <si>
    <t>620206. Garbage Disposal</t>
  </si>
  <si>
    <t>620207. Cleaning</t>
  </si>
  <si>
    <t>620208. Garbage Collection</t>
  </si>
  <si>
    <t>620209. Recycling Collection</t>
  </si>
  <si>
    <t>620210. Plant Repairs &amp; Maintenance</t>
  </si>
  <si>
    <t>620211. Garbage Disposal - AWT</t>
  </si>
  <si>
    <t>620212. External Plant &amp; Equipment Hire</t>
  </si>
  <si>
    <t>620213. Rent</t>
  </si>
  <si>
    <t>620216. IT Managed Service Provider</t>
  </si>
  <si>
    <t>620217. Green Waste Disposal</t>
  </si>
  <si>
    <t>620218. Recycling Disposal</t>
  </si>
  <si>
    <t>620220. Software as a Service</t>
  </si>
  <si>
    <t>620222. CCTV and Access Control Maintenance</t>
  </si>
  <si>
    <t>630001. Depreciation - Plant and Equipment</t>
  </si>
  <si>
    <t>630201. Depreciation - Office Equipment</t>
  </si>
  <si>
    <t>630401. Depreciation - Furniture and Fittings</t>
  </si>
  <si>
    <t>630601. Depreciation - Open Space</t>
  </si>
  <si>
    <t>630602. Depreciation - Land Improvements</t>
  </si>
  <si>
    <t>630603. Depreciation - Swimming Pools</t>
  </si>
  <si>
    <t>630801. Depreciation - Specialised Buildings</t>
  </si>
  <si>
    <t>630802. Depreciation - Non Specialised  Buildings</t>
  </si>
  <si>
    <t>631201. Depreciation - Roads</t>
  </si>
  <si>
    <t>631202. Depreciation - Storm Water Drainage</t>
  </si>
  <si>
    <t>631211. Depreciation - Footpaths</t>
  </si>
  <si>
    <t>631401. Depreciation - Library Books</t>
  </si>
  <si>
    <t>631601. Depreciation - Contra</t>
  </si>
  <si>
    <t>640001. Finance Audit Annual Charge</t>
  </si>
  <si>
    <t>640201. Audit Other Services</t>
  </si>
  <si>
    <t>641001. Planning and Development Legal Expense</t>
  </si>
  <si>
    <t>641299. Legal Expenses - Other</t>
  </si>
  <si>
    <t>642001. Telephone and Communication</t>
  </si>
  <si>
    <t>642002. Mobile Telephones</t>
  </si>
  <si>
    <t>642003. Mobile Telephone - Purchases</t>
  </si>
  <si>
    <t>642005. Internet Charges</t>
  </si>
  <si>
    <t>642006. Data Cabling</t>
  </si>
  <si>
    <t>642007. Mobile Data</t>
  </si>
  <si>
    <t>642008. Fixed Line Voice and Data Services</t>
  </si>
  <si>
    <t>642201. Electricity</t>
  </si>
  <si>
    <t>642202. Gas</t>
  </si>
  <si>
    <t>642301. Council Rates</t>
  </si>
  <si>
    <t>642401. Water &amp; Sewerage User Charges</t>
  </si>
  <si>
    <t>643001. Insurance - Premiums</t>
  </si>
  <si>
    <t>643002. Insurance - Excess &amp; Claims</t>
  </si>
  <si>
    <t>643003. Insurance - Plant and Motor Vehicle</t>
  </si>
  <si>
    <t>643006. Insurance - CTP</t>
  </si>
  <si>
    <t>643007. Insurance - Motor Vehicle Excess &amp; Claims</t>
  </si>
  <si>
    <t>643201. Department of Env and Planning Levy</t>
  </si>
  <si>
    <t>643202. Fire Brigade Service Levy</t>
  </si>
  <si>
    <t>643204. State Emergency Service Levy</t>
  </si>
  <si>
    <t>643206. Fine Processing Fee</t>
  </si>
  <si>
    <t>643401. Commissions to Third Party</t>
  </si>
  <si>
    <t>643402. Investment Fees</t>
  </si>
  <si>
    <t>643601. Motor Vehicle Registration</t>
  </si>
  <si>
    <t>643699. Other Licenses</t>
  </si>
  <si>
    <t>644001. Mayoral Allowance</t>
  </si>
  <si>
    <t>644201. Councillors Allowances</t>
  </si>
  <si>
    <t>644401. Council Meeting Expenses</t>
  </si>
  <si>
    <t>644405. Conferences &amp; Seminars</t>
  </si>
  <si>
    <t>644501. Election Expenses</t>
  </si>
  <si>
    <t>644601. Bank Charges</t>
  </si>
  <si>
    <t>644603. POSTbillpay Transaction Charges</t>
  </si>
  <si>
    <t>644604. POSTbillpay Merchant Service Fee</t>
  </si>
  <si>
    <t>644607. BPAY Transactions Charges</t>
  </si>
  <si>
    <t>644609. Credit Card Merchant Service Fee</t>
  </si>
  <si>
    <t>644610. ezidebit Service Fee</t>
  </si>
  <si>
    <t>644802. Valuation Fees</t>
  </si>
  <si>
    <t>645001. Consultancies - General</t>
  </si>
  <si>
    <t>645002. Consultancies - Specific</t>
  </si>
  <si>
    <t>645201. Street Lighting</t>
  </si>
  <si>
    <t>645401. Subscriptions Publications and Newspaper</t>
  </si>
  <si>
    <t>645403. Memberships</t>
  </si>
  <si>
    <t>645801. Advertising</t>
  </si>
  <si>
    <t>646001. Printing and Design</t>
  </si>
  <si>
    <t>646002. Stationery</t>
  </si>
  <si>
    <t>646003. Postage</t>
  </si>
  <si>
    <t>646005. Courier Services</t>
  </si>
  <si>
    <t>646006. Rate Notice Production</t>
  </si>
  <si>
    <t>646007. Electronic Presentment Expenses</t>
  </si>
  <si>
    <t>646201. Donations and Contributions to Local and Regional Bodies</t>
  </si>
  <si>
    <t>646202. Donations - Mayoral Requests</t>
  </si>
  <si>
    <t>646203. Donations and Contributions - Other</t>
  </si>
  <si>
    <t>646204. Donations - Council Contingency Fund</t>
  </si>
  <si>
    <t>646401. Hardware Maintenance</t>
  </si>
  <si>
    <t>646402. Software Purchases</t>
  </si>
  <si>
    <t>646403. Software Maintenance</t>
  </si>
  <si>
    <t>646404. Disaster Recovery Plan Expenses</t>
  </si>
  <si>
    <t>646405. Hardware Repairs</t>
  </si>
  <si>
    <t>646406. Data Acquisition</t>
  </si>
  <si>
    <t>646407. Software Support Services</t>
  </si>
  <si>
    <t>646408. Software Subscriptions</t>
  </si>
  <si>
    <t>660001. Other Miscellaneous Expenses</t>
  </si>
  <si>
    <t>660002. Event/Function Expenses</t>
  </si>
  <si>
    <t>660003. First Aid Supplies</t>
  </si>
  <si>
    <t>660004. Disposal Abandoned Vehicles</t>
  </si>
  <si>
    <t>660005. Archiving</t>
  </si>
  <si>
    <t>660007. Animal/Pest Control Expenses</t>
  </si>
  <si>
    <t>660009. Leisure Centre - Kiosk Purchases</t>
  </si>
  <si>
    <t>660010. Leisure Centre - Merchandise Purchases</t>
  </si>
  <si>
    <t>660024. Randwick City Swim Club Expenses</t>
  </si>
  <si>
    <t>690002. Internal Plant Hire</t>
  </si>
  <si>
    <t>690009. Internal Charge - Community Services Subsidies</t>
  </si>
  <si>
    <t>690013. Internal Charge - Passenger Vehicle &amp; LC</t>
  </si>
  <si>
    <t>690016. Internal Transfer - Depot Cost</t>
  </si>
  <si>
    <t>690018. Internal Transfer - Rangers Costs</t>
  </si>
  <si>
    <t>690019. Internal Transfer - Health &amp; Regulatory</t>
  </si>
  <si>
    <t>690021. Internal Transfer - Salary and Wages</t>
  </si>
  <si>
    <t>690023. Internal Charge - Shrub &amp; Tree Purchases</t>
  </si>
  <si>
    <t>690024. Internal Charge - Litter Bins &amp; Street S</t>
  </si>
  <si>
    <t>690025. Internal Charge - Corporate Overhead</t>
  </si>
  <si>
    <t>700001. Rates - Residential</t>
  </si>
  <si>
    <t>700002. Compulsory Pensioner Rebates - Rates</t>
  </si>
  <si>
    <t>700501. Rates - Business</t>
  </si>
  <si>
    <t>711401. Rates - Environmental</t>
  </si>
  <si>
    <t>715001. Domestic Waste Management Annual Charges</t>
  </si>
  <si>
    <t>715002. Compulsory Pensioner Rebates - DWM</t>
  </si>
  <si>
    <t>716400. Stormwater Levy Income</t>
  </si>
  <si>
    <t>721001. Trade/Commercial Waste User Charges</t>
  </si>
  <si>
    <t>725001. Aquatic Centre - Adult Entry Fee</t>
  </si>
  <si>
    <t>725002. Aquatic Centre - Child Entry Fee</t>
  </si>
  <si>
    <t>725003. Aquatic Centre - Spectator Entry Fee</t>
  </si>
  <si>
    <t>725004. Aquatic Centre - Multi Visit Passes</t>
  </si>
  <si>
    <t>725005. Aquatic Centre - Concession Pensioners</t>
  </si>
  <si>
    <t>725007. Aquatic Centre - Family Entry Fee</t>
  </si>
  <si>
    <t>725008. Aquatic Centre - Pool Hire</t>
  </si>
  <si>
    <t>725009. Aquatic Centre - Pool Hire - School</t>
  </si>
  <si>
    <t>725010. Aquatic Centre - Pool Hire - Swim Clubs</t>
  </si>
  <si>
    <t>725011. Aquatic Centre - Programs - School</t>
  </si>
  <si>
    <t>725012. Aquatic Centre - Aquaerobics - Adults</t>
  </si>
  <si>
    <t>725013. Aquatic Centre - Aquaerobics - Concession</t>
  </si>
  <si>
    <t>725014. Aquatic Centre - Coffee Club</t>
  </si>
  <si>
    <t>725015. Aquatic Centre - LTS - Preschool</t>
  </si>
  <si>
    <t>725016. Aquatic Centre - LTS - School Age</t>
  </si>
  <si>
    <t>725017. Aquatic Centre - LTS - Adults</t>
  </si>
  <si>
    <t>725018. Aquatic Centre - LTS - Squads</t>
  </si>
  <si>
    <t>725019. Aquatic Centre - LTS - Privates</t>
  </si>
  <si>
    <t>725020. Aquatic Centre - Birthday Parties</t>
  </si>
  <si>
    <t>725022. Aquatic Centre - Randwick City Swim Club</t>
  </si>
  <si>
    <t>725030. Aquatic Centre - Vacation Care</t>
  </si>
  <si>
    <t>725034. Leisure Centre Admission Charges - Gym Casual</t>
  </si>
  <si>
    <t>725035. Leisure Centre Admission Charges - Gym Casual Concession</t>
  </si>
  <si>
    <t>725036. Leisure Centre Admission Charges - Aerobics Casual</t>
  </si>
  <si>
    <t>725037. Leisure Centre Admission Charges - Aerobics Concession</t>
  </si>
  <si>
    <t>725039. Leisure Centre Admission Charges - Direct Debit Membership</t>
  </si>
  <si>
    <t>725040. Leisure Centre Admission Charges - Direct Debit Concession</t>
  </si>
  <si>
    <t>725041. Leisure Centre Admission Charges - Term Membership</t>
  </si>
  <si>
    <t>725044. Leisure Centre Misc Fees - Child Care</t>
  </si>
  <si>
    <t>725046. Leisure Centre Misc Fees - Teen Gym</t>
  </si>
  <si>
    <t>725047. Leisure Centre - Programs - Weight Loss</t>
  </si>
  <si>
    <t>726001. Commercial Rentals</t>
  </si>
  <si>
    <t>726201. Residential Rentals</t>
  </si>
  <si>
    <t>727101. Community Facilities Hire Fees</t>
  </si>
  <si>
    <t>727102. Parks Charges</t>
  </si>
  <si>
    <t>727103. Beach Charges</t>
  </si>
  <si>
    <t>727104. Library Fees and Charges</t>
  </si>
  <si>
    <t>727105. Community Bus - Hire Fees</t>
  </si>
  <si>
    <t>727106. Home Maintenance Service Fees</t>
  </si>
  <si>
    <t>727107. Cemetery Fees</t>
  </si>
  <si>
    <t>727110. Prince Henry Hire Fees - Commercial</t>
  </si>
  <si>
    <t>727111. Prince Henry Hire Fees - NonCommercial</t>
  </si>
  <si>
    <t>727204. Child Care Fees</t>
  </si>
  <si>
    <t>728001. Waste Management Other User Charges</t>
  </si>
  <si>
    <t>729001. Section 603 Fees</t>
  </si>
  <si>
    <t>729002. Section 149 Fees</t>
  </si>
  <si>
    <t>729003. Construction Certificates</t>
  </si>
  <si>
    <t>729004. Occupation/Compliance Certificate</t>
  </si>
  <si>
    <t>729005. Development Application Fees</t>
  </si>
  <si>
    <t>729006. Complying Development Certificates</t>
  </si>
  <si>
    <t>729008. Subdivision Fees</t>
  </si>
  <si>
    <t>729009. Companion Animal Fees</t>
  </si>
  <si>
    <t>729010. Accredited Certification Certificates</t>
  </si>
  <si>
    <t>729011. Fees Design Review Panel</t>
  </si>
  <si>
    <t>729013. Bulk Waste Bins s68</t>
  </si>
  <si>
    <t>729014. Hoist on Public Roads s68</t>
  </si>
  <si>
    <t>729015. Articles on Public Roads</t>
  </si>
  <si>
    <t>729201. Section 611 Charges</t>
  </si>
  <si>
    <t>729202. Building Inspections</t>
  </si>
  <si>
    <t>729203. Building Certificates</t>
  </si>
  <si>
    <t>729205. Advertising of Development and Building</t>
  </si>
  <si>
    <t>729207. Road Restorations</t>
  </si>
  <si>
    <t>729208. Work Zone Fees</t>
  </si>
  <si>
    <t>729210. Photocopying Fees</t>
  </si>
  <si>
    <t>729213. Licence Fees</t>
  </si>
  <si>
    <t>729216. Paid Parking Fees</t>
  </si>
  <si>
    <t>729217. Enquiry Fees</t>
  </si>
  <si>
    <t>729218. Road Alignment Fees</t>
  </si>
  <si>
    <t>729219. Filming and Events Permits</t>
  </si>
  <si>
    <t>729221. Change of Street Address</t>
  </si>
  <si>
    <t>729222. Application Service Fees</t>
  </si>
  <si>
    <t>729225. Library  Ilanet System</t>
  </si>
  <si>
    <t>729228. Notification Fee</t>
  </si>
  <si>
    <t>729231. Tree Application Fees</t>
  </si>
  <si>
    <t>729232. Privately Certified Certificates Reg Fee</t>
  </si>
  <si>
    <t>729235. Bus Shelter Fees</t>
  </si>
  <si>
    <t>729236. Infrastructure Construction for Developments</t>
  </si>
  <si>
    <t>729237. Damage Rectification Fee</t>
  </si>
  <si>
    <t>729299. Fees Other</t>
  </si>
  <si>
    <t>729300. Dishonoured Fees Rates- Residential and Business</t>
  </si>
  <si>
    <t>730102. Interest on Overdue Rates and Annual Charges</t>
  </si>
  <si>
    <t>731001. Interest on S94 Contributions</t>
  </si>
  <si>
    <t>732001. Interest on Investments</t>
  </si>
  <si>
    <t>732002. Interest on DWM Reserves</t>
  </si>
  <si>
    <t>732004. Interest on Randwick Environmental Park</t>
  </si>
  <si>
    <t>738001. Interest on Bank Account</t>
  </si>
  <si>
    <t>741001. Ex Gratia Rates</t>
  </si>
  <si>
    <t>741201. Fines - Parking</t>
  </si>
  <si>
    <t>741202. Fines Derelict Vehicles</t>
  </si>
  <si>
    <t>741203. Fines and Cost -  Building</t>
  </si>
  <si>
    <t>741206. Library Fines</t>
  </si>
  <si>
    <t>741299. Fines - Other</t>
  </si>
  <si>
    <t>741410. Recycled Cardboard Sales</t>
  </si>
  <si>
    <t>741604. Shrubs and Trees Sales</t>
  </si>
  <si>
    <t>741605. Library Book Sales</t>
  </si>
  <si>
    <t>741606. Aquatic Centre Kiosk Sales</t>
  </si>
  <si>
    <t>741607. Aquatic Centre -  Merchandise</t>
  </si>
  <si>
    <t>741613. Microfilming Prints</t>
  </si>
  <si>
    <t>741650. Merchant Service Fee Recovery</t>
  </si>
  <si>
    <t>742001. Commissions</t>
  </si>
  <si>
    <t>742002. Diesel Fuel Rebate</t>
  </si>
  <si>
    <t>742402. Resident Parking Scheme/Permit</t>
  </si>
  <si>
    <t>743201. Operating Revenues - Other</t>
  </si>
  <si>
    <t>750001. Financial Assistance Grant - General Component</t>
  </si>
  <si>
    <t>750002. Financial Assistance Grant - Road Component</t>
  </si>
  <si>
    <t>750201. Pensioners' Rates Subsidies</t>
  </si>
  <si>
    <t>751001. Operating Grants - DWM Pensioner Subsidy</t>
  </si>
  <si>
    <t>751401. Operating Grants - Street Lighting</t>
  </si>
  <si>
    <t>751801. Library Subsidy</t>
  </si>
  <si>
    <t>754602. Community Development Subsidy</t>
  </si>
  <si>
    <t>754607. Operating Grant - Child Care</t>
  </si>
  <si>
    <t>755001. Capital Grants - Roads Bridges and Footpaths</t>
  </si>
  <si>
    <t>764002. Operating Contributions - Traffic Facilities Block Grant</t>
  </si>
  <si>
    <t>764004. Operating Contributions - Bus Route</t>
  </si>
  <si>
    <t>764005. Operating Contributions - RTA Other</t>
  </si>
  <si>
    <t>764401. Operating Contributions - Vehicle Access  Supervision Fee</t>
  </si>
  <si>
    <t>764402. Operating Contributions - Vehicle Access Design Fee</t>
  </si>
  <si>
    <t>764403. Operating Contributions - Vehicle Access Application Fee</t>
  </si>
  <si>
    <t>765601. Car Leases Contributions - Staff</t>
  </si>
  <si>
    <t>768401. Operating Contributions - Other</t>
  </si>
  <si>
    <t>772402. S94A Capital Developer Contributions</t>
  </si>
  <si>
    <t>774002. Capital Contributions - Regional Block Grant</t>
  </si>
  <si>
    <t>774401. Capital Contributions - Vehicle Access Construction</t>
  </si>
  <si>
    <t>780001. Proceeds on Asset Disposal Plant and Equipment</t>
  </si>
  <si>
    <t>790002. Internal Plant Hire - Income</t>
  </si>
  <si>
    <t>790003. Other Internal Revenue</t>
  </si>
  <si>
    <t>790004. Internal Revenue - Passenger vehicle</t>
  </si>
  <si>
    <t>790005. Internal Service Charge</t>
  </si>
  <si>
    <t>790016. Internal Cost Recovery - Salary and Wage</t>
  </si>
  <si>
    <t>790023. Internal Revenue - Shrub &amp; Tree Sales</t>
  </si>
  <si>
    <t>790024. Internal Revenue - Litter Bins &amp; Street</t>
  </si>
  <si>
    <t>790025. Internal Corporate Overhead Recovery</t>
  </si>
  <si>
    <t>999999. Suspense Natural Acct</t>
  </si>
  <si>
    <t>N4 - Salary</t>
  </si>
  <si>
    <t>N4 - Super</t>
  </si>
  <si>
    <t>N4 - Super DB</t>
  </si>
  <si>
    <t>N4 - Super WC</t>
  </si>
  <si>
    <t>N4 - ELE</t>
  </si>
  <si>
    <t>N4 - Training</t>
  </si>
  <si>
    <t>N4 - Emp Travel</t>
  </si>
  <si>
    <t>N4 - FBT</t>
  </si>
  <si>
    <t>N4 - Emp Other</t>
  </si>
  <si>
    <t>N4 - Materials</t>
  </si>
  <si>
    <t>N4 - Contract Other</t>
  </si>
  <si>
    <t>N4 - Contract Waste</t>
  </si>
  <si>
    <t>N9 - P&amp;E</t>
  </si>
  <si>
    <t>N9 - OE</t>
  </si>
  <si>
    <t>N9 - FF</t>
  </si>
  <si>
    <t>N9 - OS</t>
  </si>
  <si>
    <t>N9 - SBLD</t>
  </si>
  <si>
    <t>N9 - NSBLD</t>
  </si>
  <si>
    <t>N9 - RD</t>
  </si>
  <si>
    <t>N9 - DR</t>
  </si>
  <si>
    <t>N9 - LB</t>
  </si>
  <si>
    <t>N4 - Auditor</t>
  </si>
  <si>
    <t>N4 - Legal Other</t>
  </si>
  <si>
    <t>N4 - Telephone</t>
  </si>
  <si>
    <t>N4 - Electricity</t>
  </si>
  <si>
    <t>N4 - Other Other</t>
  </si>
  <si>
    <t>N4 - Water</t>
  </si>
  <si>
    <t>N4 - Insurance</t>
  </si>
  <si>
    <t>N4 - Dept Planning</t>
  </si>
  <si>
    <t>N4 - Fire Brigade</t>
  </si>
  <si>
    <t>N4 - Emergency</t>
  </si>
  <si>
    <t>N4 - SEINS</t>
  </si>
  <si>
    <t>N4 - Bank Fee</t>
  </si>
  <si>
    <t>N4 - Rego</t>
  </si>
  <si>
    <t>N4 - Mayoral Fee</t>
  </si>
  <si>
    <t>N4 - Councillors Fee</t>
  </si>
  <si>
    <t>N4 - Councillors Fee Other</t>
  </si>
  <si>
    <t>N4 - Valuation</t>
  </si>
  <si>
    <t>N4 - Str Lighting</t>
  </si>
  <si>
    <t>N4 - Subscription</t>
  </si>
  <si>
    <t>N4 - Donations</t>
  </si>
  <si>
    <t>N4 - Events</t>
  </si>
  <si>
    <t>N4 - Animal</t>
  </si>
  <si>
    <t>N3 - Res Rates</t>
  </si>
  <si>
    <t>N3 - Bus Rates</t>
  </si>
  <si>
    <t>N3 - Env Levy</t>
  </si>
  <si>
    <t>N3 - DW</t>
  </si>
  <si>
    <t>N3 - Stormwater</t>
  </si>
  <si>
    <t>N3 - TW</t>
  </si>
  <si>
    <t>N3 - DRLC</t>
  </si>
  <si>
    <t>N3 - Rental Income</t>
  </si>
  <si>
    <t>N3 - Facilities &amp; Park Hire</t>
  </si>
  <si>
    <t>N3 - Library</t>
  </si>
  <si>
    <t>N3 - Other Fees Other</t>
  </si>
  <si>
    <t>N3 - Home Maintenance</t>
  </si>
  <si>
    <t>N3 - Cemetery Fees</t>
  </si>
  <si>
    <t>N3 - CCC</t>
  </si>
  <si>
    <t>N3 - Statutory</t>
  </si>
  <si>
    <t>N3 - Planning</t>
  </si>
  <si>
    <t>N3 - S611</t>
  </si>
  <si>
    <t>N3 - Road Restoration</t>
  </si>
  <si>
    <t>N3 - Const Zone</t>
  </si>
  <si>
    <t>N3 - Photocopying</t>
  </si>
  <si>
    <t>N3 - Parking Meters</t>
  </si>
  <si>
    <t>N3 - Enquiries</t>
  </si>
  <si>
    <t>N3 - Alighment</t>
  </si>
  <si>
    <t>N3 - Filming Permits</t>
  </si>
  <si>
    <t>N3 - Other Statutory</t>
  </si>
  <si>
    <t>N3 - Bus Shelter</t>
  </si>
  <si>
    <t>N3 - Int Rates</t>
  </si>
  <si>
    <t>N3 - Int Invest</t>
  </si>
  <si>
    <t>N3 - Int Other</t>
  </si>
  <si>
    <t>N3 - Contr EX</t>
  </si>
  <si>
    <t>N3 - Fines Parking</t>
  </si>
  <si>
    <t>N3 - Fines Other</t>
  </si>
  <si>
    <t>N3 - Recycled Materials</t>
  </si>
  <si>
    <t>N3 - Shrub &amp; Tree Sales</t>
  </si>
  <si>
    <t>N3 - Other Revenue Other</t>
  </si>
  <si>
    <t>N3 - DRLC Kiosk Sales</t>
  </si>
  <si>
    <t>N3 - Microfilm Prints</t>
  </si>
  <si>
    <t>N3 - Merchant Fee</t>
  </si>
  <si>
    <t>N3 - Commission Fees</t>
  </si>
  <si>
    <t>N3 - Parking Schemes</t>
  </si>
  <si>
    <t>N3 - FAG General</t>
  </si>
  <si>
    <t>N3 - FAG Loc Roads</t>
  </si>
  <si>
    <t>N3 - Pensioners Subsidies</t>
  </si>
  <si>
    <t>N3 - Grants DW</t>
  </si>
  <si>
    <t>N3 - Grants LB</t>
  </si>
  <si>
    <t>N3 - Grants CS</t>
  </si>
  <si>
    <t>N3 - Grants CC</t>
  </si>
  <si>
    <t>N3 - Cap Grants TP</t>
  </si>
  <si>
    <t>N3 - Contr RMS</t>
  </si>
  <si>
    <t>N3 - Contr DR</t>
  </si>
  <si>
    <t>N3 - Leaseback Fees</t>
  </si>
  <si>
    <t>N3 - Grants OT</t>
  </si>
  <si>
    <t>N3 - Cap Contr S94A</t>
  </si>
  <si>
    <t>N3 - Cap Contr RMS</t>
  </si>
  <si>
    <t>N3 - Cap Contr DW</t>
  </si>
  <si>
    <t>N5 - P&amp;E Proceeds</t>
  </si>
  <si>
    <t>N9 - FP</t>
  </si>
  <si>
    <t>N4 - Election</t>
  </si>
  <si>
    <t>N3 - Grants SL</t>
  </si>
  <si>
    <t>Note 3. Income from Continuing Operations</t>
  </si>
  <si>
    <t>(a) Rates &amp; Annual Charges</t>
  </si>
  <si>
    <t>Residential</t>
  </si>
  <si>
    <t>Business</t>
  </si>
  <si>
    <t>Total Ordinary Rates</t>
  </si>
  <si>
    <t>Environmental</t>
  </si>
  <si>
    <t>Total Special Rates</t>
  </si>
  <si>
    <t>Domestic Waste Management Services</t>
  </si>
  <si>
    <t>Stormwater Management Services</t>
  </si>
  <si>
    <t>Section 611 Charges</t>
  </si>
  <si>
    <t>Total Annual Charges</t>
  </si>
  <si>
    <t>Total Rates &amp; Annual Charges</t>
  </si>
  <si>
    <t>(b) User Charges &amp; Fees</t>
  </si>
  <si>
    <t>Waste Management Services (non-domestic)</t>
  </si>
  <si>
    <t>Total User Charges</t>
  </si>
  <si>
    <t>Alignment Fees</t>
  </si>
  <si>
    <t>Construction Zones</t>
  </si>
  <si>
    <t>Planning &amp; Building Regulation</t>
  </si>
  <si>
    <t>N3 - Private Works</t>
  </si>
  <si>
    <t>Private Works - Section 67</t>
  </si>
  <si>
    <t>Regulatory/Statutory Fees</t>
  </si>
  <si>
    <t>Other</t>
  </si>
  <si>
    <t>Total Fees &amp; Charges - Statutory/Regulatory</t>
  </si>
  <si>
    <t>Leisure Centre Fees</t>
  </si>
  <si>
    <t>Bus Shelter Advertising Fees</t>
  </si>
  <si>
    <t>Child Care Centre Fees</t>
  </si>
  <si>
    <t>Community Facilities &amp; Park Hire</t>
  </si>
  <si>
    <t>Enquiries</t>
  </si>
  <si>
    <t>Filming Permits</t>
  </si>
  <si>
    <t>Home Maintenance Services</t>
  </si>
  <si>
    <t>Leaseback Fees - Council Vehicles</t>
  </si>
  <si>
    <t>Library</t>
  </si>
  <si>
    <t>Microfilm Prints</t>
  </si>
  <si>
    <t>Parking Meters</t>
  </si>
  <si>
    <t>Parking Schemes &amp; Traffic Management</t>
  </si>
  <si>
    <t>Photocopying</t>
  </si>
  <si>
    <t>Road &amp; Other Infrastructure Reinstatements</t>
  </si>
  <si>
    <t>Sale of Recycled Materials</t>
  </si>
  <si>
    <t>Shrub &amp; Tree Sales</t>
  </si>
  <si>
    <t>Total Fees &amp; Charges Other</t>
  </si>
  <si>
    <t>Cemetery Fees</t>
  </si>
  <si>
    <t>Total User Charges &amp; Fees</t>
  </si>
  <si>
    <t>(c) Interest &amp; Investment Revenue</t>
  </si>
  <si>
    <t>- Interest on Overdue Rates &amp; Annual Charges</t>
  </si>
  <si>
    <t>- Interest Earned on Investments</t>
  </si>
  <si>
    <t>- Interest &amp; Dividend Income (Other)</t>
  </si>
  <si>
    <t>Total Interest &amp; Investment Revenue</t>
  </si>
  <si>
    <t>(d) Other Revenues</t>
  </si>
  <si>
    <t>Rental Income - Other Council Properties</t>
  </si>
  <si>
    <t>Fines - Parking</t>
  </si>
  <si>
    <t>Fines - Other</t>
  </si>
  <si>
    <t>Commission &amp; Agency Fees</t>
  </si>
  <si>
    <t>Aquatic Centre Kiosk &amp; Merchandise Sales</t>
  </si>
  <si>
    <t>Merchant Service Fee Recovery</t>
  </si>
  <si>
    <t>Total Other Revenue</t>
  </si>
  <si>
    <t>(e) Grants</t>
  </si>
  <si>
    <t>General Purpose</t>
  </si>
  <si>
    <t>Financial Assistance - General Component</t>
  </si>
  <si>
    <t>Financial Assistance - Local Roads Component</t>
  </si>
  <si>
    <t>Pensioners' Rates Subsidies</t>
  </si>
  <si>
    <t>Total General Purpose</t>
  </si>
  <si>
    <t>Specific Purpose</t>
  </si>
  <si>
    <t>Pensioners' Rates Subsidies:</t>
  </si>
  <si>
    <t xml:space="preserve">  - Domestic Waste Management</t>
  </si>
  <si>
    <t>Child Care</t>
  </si>
  <si>
    <t>Community Services</t>
  </si>
  <si>
    <t>N3 - Grants EP</t>
  </si>
  <si>
    <t>Environmental Protection</t>
  </si>
  <si>
    <t>Street Lighting</t>
  </si>
  <si>
    <t>Total Specific Purpose</t>
  </si>
  <si>
    <t>(f) Contributions</t>
  </si>
  <si>
    <t>Driveways</t>
  </si>
  <si>
    <t>Ex Gratia Rates</t>
  </si>
  <si>
    <t>RMS Contributions</t>
  </si>
  <si>
    <t>Total Other Contributions</t>
  </si>
  <si>
    <t>Total Grants &amp; Contributions</t>
  </si>
  <si>
    <t>Capital Revenue</t>
  </si>
  <si>
    <t>Transport</t>
  </si>
  <si>
    <t>Developer Contributions</t>
  </si>
  <si>
    <t>S 94A - Fixed Development Consent Levies</t>
  </si>
  <si>
    <t>Total Developer Contributions</t>
  </si>
  <si>
    <t>Total Capital Grants &amp; Contributions</t>
  </si>
  <si>
    <t>Note 4 to 5</t>
  </si>
  <si>
    <t>Note 4. Expenses from Continuing Operations</t>
  </si>
  <si>
    <t>(a) Employee Benefits &amp; On-Costs</t>
  </si>
  <si>
    <t>Total Employee Costs</t>
  </si>
  <si>
    <t>Travel expenses</t>
  </si>
  <si>
    <t>Salaries and wages</t>
  </si>
  <si>
    <t>Employee leave entitlements (ELE)</t>
  </si>
  <si>
    <t>Superannuation - defined contribution plans</t>
  </si>
  <si>
    <t>Superannuation - defined benefit plans</t>
  </si>
  <si>
    <t>Workers' compensation insurance</t>
  </si>
  <si>
    <t>Fringe benefit tax (FBT)</t>
  </si>
  <si>
    <t>Training costs</t>
  </si>
  <si>
    <t>(b) Borrowing Costs</t>
  </si>
  <si>
    <t>(c) Materials &amp; Contracts</t>
  </si>
  <si>
    <t>N4 - Legal DA</t>
  </si>
  <si>
    <t>Total Materials &amp; Contracts</t>
  </si>
  <si>
    <t>(d) Depreciation, Amortisation &amp; Impairment</t>
  </si>
  <si>
    <t>Plant and Equipment</t>
  </si>
  <si>
    <t>Office Equipment</t>
  </si>
  <si>
    <t>Furniture &amp; Fittings</t>
  </si>
  <si>
    <t>Land Improvements (depreciable)</t>
  </si>
  <si>
    <t>Buildings (Non Specialised &amp; Specialised)</t>
  </si>
  <si>
    <t>Infrastructure</t>
  </si>
  <si>
    <t xml:space="preserve">  - Roads</t>
  </si>
  <si>
    <t xml:space="preserve">  - Footpaths</t>
  </si>
  <si>
    <t xml:space="preserve">  - Stormwater Drainage</t>
  </si>
  <si>
    <t xml:space="preserve">  - Swimming Pools</t>
  </si>
  <si>
    <t xml:space="preserve">  - Other Open Space/Recreational Assets</t>
  </si>
  <si>
    <t>Other Assets</t>
  </si>
  <si>
    <t xml:space="preserve">  - Heritage Collections</t>
  </si>
  <si>
    <t xml:space="preserve">  - Library Books</t>
  </si>
  <si>
    <t>Total Depreciation &amp; Impairment Costs</t>
  </si>
  <si>
    <t>Note 9a. Infrastructure, Property, Plant &amp; Equipment</t>
  </si>
  <si>
    <t>TOTAL INFRASTRUCTURE, PROPERTY, PLANT &amp; EQUIPMENT</t>
  </si>
  <si>
    <t>Fair Value Opening Balance</t>
  </si>
  <si>
    <t>Accum Depn Opening Balance</t>
  </si>
  <si>
    <t>Carrying Value Open Balance</t>
  </si>
  <si>
    <t>Disposal (at cost)</t>
  </si>
  <si>
    <t>Disposal (Accum Depn)</t>
  </si>
  <si>
    <t>WDV of Asset Disposals</t>
  </si>
  <si>
    <t>Depreciation Expense</t>
  </si>
  <si>
    <t>Fair Value Closing Balance</t>
  </si>
  <si>
    <t>Accum Depn Closing Balance</t>
  </si>
  <si>
    <t>Carrying Value Closing Balance</t>
  </si>
  <si>
    <t>Plant &amp; Equipment</t>
  </si>
  <si>
    <t>Depreciable Fair Value</t>
  </si>
  <si>
    <t>Capital Works Program</t>
  </si>
  <si>
    <t>Funding</t>
  </si>
  <si>
    <t>Description</t>
  </si>
  <si>
    <t>New / Renewal</t>
  </si>
  <si>
    <t>Total Plant &amp; Equipment</t>
  </si>
  <si>
    <t>Plant Replacement Reserve</t>
  </si>
  <si>
    <t>Plant Replacement Strategy</t>
  </si>
  <si>
    <t>Domestic Waste Levy</t>
  </si>
  <si>
    <t>Plant Replacement Strategy - DW Trucks</t>
  </si>
  <si>
    <t>Environmental Levy Program</t>
  </si>
  <si>
    <t>Asset Deprecialble Cost</t>
  </si>
  <si>
    <t>As at 30/06/2017</t>
  </si>
  <si>
    <t>Office Equipment Depreciable Cost</t>
  </si>
  <si>
    <t>Furniture &amp; Fittings Depreciable Cost</t>
  </si>
  <si>
    <t>Depreciable Land Improvements</t>
  </si>
  <si>
    <t>Depreciable Land Improvements Depreciable Cost</t>
  </si>
  <si>
    <t>Plant &amp; Equipment Depreciable Cost</t>
  </si>
  <si>
    <t>IT Reserve</t>
  </si>
  <si>
    <t>IT Strategy</t>
  </si>
  <si>
    <t>Total Office Equipment</t>
  </si>
  <si>
    <t>Section 94</t>
  </si>
  <si>
    <t>S94 Plan</t>
  </si>
  <si>
    <t>General Fund</t>
  </si>
  <si>
    <t>Total Furniture &amp; Fittings</t>
  </si>
  <si>
    <t>Operational Land</t>
  </si>
  <si>
    <t>Community Land</t>
  </si>
  <si>
    <t>Land Under Roads (post 30/06/2008)</t>
  </si>
  <si>
    <t>Open Space Capital Works Program</t>
  </si>
  <si>
    <t>Renewal</t>
  </si>
  <si>
    <t>New</t>
  </si>
  <si>
    <t>Total Depreciable Land Improvements</t>
  </si>
  <si>
    <t>&lt;&lt;&lt; to reconcile with AMP</t>
  </si>
  <si>
    <t>Buildings</t>
  </si>
  <si>
    <t>Buildings Capital Works Program</t>
  </si>
  <si>
    <t>Building Levy</t>
  </si>
  <si>
    <t>Operating Surplus</t>
  </si>
  <si>
    <t>Total Buildings</t>
  </si>
  <si>
    <t>&lt;&lt;&lt; to smooth the total capital expenditure</t>
  </si>
  <si>
    <t>Roads</t>
  </si>
  <si>
    <t>Road Capital Works Program</t>
  </si>
  <si>
    <t>Grants and Contributions</t>
  </si>
  <si>
    <t>Total Roads</t>
  </si>
  <si>
    <t>Footpaths</t>
  </si>
  <si>
    <t>Total Footpaths</t>
  </si>
  <si>
    <t>Stormwater Drainage</t>
  </si>
  <si>
    <t>Drainage Capital Works Program</t>
  </si>
  <si>
    <t>Stormwater Levy</t>
  </si>
  <si>
    <t>Total Stormwater Drainage</t>
  </si>
  <si>
    <t>Swimming Pools</t>
  </si>
  <si>
    <t>Total Swimming Pools</t>
  </si>
  <si>
    <t>Other Open Space / Recreational Assets</t>
  </si>
  <si>
    <t>Domestic Waste Strategy</t>
  </si>
  <si>
    <t>Total Other Open Space / Recreational Assets</t>
  </si>
  <si>
    <t>Heritage Collections</t>
  </si>
  <si>
    <t>Total Heritage Collections</t>
  </si>
  <si>
    <t>Library Books</t>
  </si>
  <si>
    <t>Total Library Books</t>
  </si>
  <si>
    <t>(e) Other Expenses</t>
  </si>
  <si>
    <t>N4 - Other Levy</t>
  </si>
  <si>
    <t>Total Other Expenses</t>
  </si>
  <si>
    <t>Note 5. Gains or Losses from the Disposal of Assets</t>
  </si>
  <si>
    <t>Property (excl. Investment Property)</t>
  </si>
  <si>
    <t>Proceeds from Disposal - Property</t>
  </si>
  <si>
    <t>less: Carrying Amount of Property Assets Sold / Written Off</t>
  </si>
  <si>
    <t>Net Gain/(Loss) on Disposal</t>
  </si>
  <si>
    <t>Proceeds from Disposal - Plant &amp; Equipment</t>
  </si>
  <si>
    <t>less : Carrying Amount of P&amp;E Assets Sold / Written Off</t>
  </si>
  <si>
    <t>Net Gains/(Loss) on Disposal</t>
  </si>
  <si>
    <t>Proceeds from Disposal - Infrastructure</t>
  </si>
  <si>
    <t>less: Carrying Amount of Infrastructure Assets Sold / Written Off</t>
  </si>
  <si>
    <t>Financial Assets</t>
  </si>
  <si>
    <t>Proceeds from Disposal / Redemptions / Maturities - Financial Assets</t>
  </si>
  <si>
    <t>less: Carrying Amount of Financial Assets Sold / Redeemed / Matured</t>
  </si>
  <si>
    <t>Net Gain/(Loss) on Disposal of Assets</t>
  </si>
  <si>
    <t>Note 6 to 8</t>
  </si>
  <si>
    <t>Note 6a. Cash Assets and Note 6b. Investments</t>
  </si>
  <si>
    <t>Cash &amp; Cash Equivalents (Note 6a)</t>
  </si>
  <si>
    <t>Cash on Hand and at Bank</t>
  </si>
  <si>
    <t>Cash-Equivalent Assets</t>
  </si>
  <si>
    <t>- Deposits at Call</t>
  </si>
  <si>
    <t>- Managed Funds</t>
  </si>
  <si>
    <t>- Short Term Deposits</t>
  </si>
  <si>
    <t>Total Cash &amp; Cash Equivalents</t>
  </si>
  <si>
    <t>Investments (Note 6b)</t>
  </si>
  <si>
    <t>- Long Term Deposits</t>
  </si>
  <si>
    <t>- Covered Bond</t>
  </si>
  <si>
    <r>
      <t xml:space="preserve">- NCD's, FRN's </t>
    </r>
    <r>
      <rPr>
        <sz val="8"/>
        <color theme="1"/>
        <rFont val="Arial"/>
        <family val="2"/>
      </rPr>
      <t>(with Maturities &gt; 3 months)</t>
    </r>
  </si>
  <si>
    <t>Total Investments</t>
  </si>
  <si>
    <t>Total Cash Assets, Cash Equivalents &amp; Investments</t>
  </si>
  <si>
    <t>Animal pest control</t>
  </si>
  <si>
    <t>Bank charges, investment charges and payments to council collection</t>
  </si>
  <si>
    <t>Community events &amp; functions</t>
  </si>
  <si>
    <t>Contributions/levies to other levels of government</t>
  </si>
  <si>
    <t xml:space="preserve">  - Department of planning levy</t>
  </si>
  <si>
    <t xml:space="preserve">  - Emergency services levy</t>
  </si>
  <si>
    <t xml:space="preserve">  - NSW fire brigade levy</t>
  </si>
  <si>
    <t xml:space="preserve">  - Other contributions/levies</t>
  </si>
  <si>
    <t>Councillor expenses - mayoral fee</t>
  </si>
  <si>
    <t>Councillor expenses - councillors' fees</t>
  </si>
  <si>
    <t>Councillors' expenses (incl. mayor) - other (excluding fees above)</t>
  </si>
  <si>
    <t>Donations, contributions &amp; assistance to other organisation (Section 356)</t>
  </si>
  <si>
    <t>Election expenses</t>
  </si>
  <si>
    <t>Electricity and heating</t>
  </si>
  <si>
    <t>Street lighting</t>
  </si>
  <si>
    <t>Subscriptions and publications</t>
  </si>
  <si>
    <t>Telephone and communications</t>
  </si>
  <si>
    <t>Valuation fees</t>
  </si>
  <si>
    <t>Vehicle registration fees</t>
  </si>
  <si>
    <t>Water and sewerage</t>
  </si>
  <si>
    <t>Raw materials and consumables</t>
  </si>
  <si>
    <t>Contractor and consultancy costs</t>
  </si>
  <si>
    <t xml:space="preserve">  - Garbage and recycling contracts</t>
  </si>
  <si>
    <t xml:space="preserve">  - Other contractor and consultancy costs</t>
  </si>
  <si>
    <t>Auditors remuneration</t>
  </si>
  <si>
    <t>Infringement notice contract costs (SEINS)</t>
  </si>
  <si>
    <t>Legal expenses</t>
  </si>
  <si>
    <t xml:space="preserve">  - Legal expenses: planning and development</t>
  </si>
  <si>
    <t xml:space="preserve">  - Legal expenses: other</t>
  </si>
  <si>
    <t>Cash Flows from Operating Activities</t>
  </si>
  <si>
    <t>Receipts:</t>
  </si>
  <si>
    <t>Rates &amp; Annual Charges</t>
  </si>
  <si>
    <t>P&amp;L Result</t>
  </si>
  <si>
    <t>Opening Receivable - Rates &amp; Annual Charges</t>
  </si>
  <si>
    <t>Closing Receivable - Rates &amp; Annual Charges</t>
  </si>
  <si>
    <t>Balance Sheet Movement</t>
  </si>
  <si>
    <t>Cashflow - Rates &amp; Annual Charges</t>
  </si>
  <si>
    <t>Opening Receivable - User Charges &amp; Fees</t>
  </si>
  <si>
    <t>Closing Receivable - User Charges &amp; Fees</t>
  </si>
  <si>
    <t>Opening Payable - Payments Received In Advance</t>
  </si>
  <si>
    <t>Closing Payable - Payments Received In Advance</t>
  </si>
  <si>
    <t>Cashflow - User Charges &amp; Fees</t>
  </si>
  <si>
    <t>Note 6c. Restricted Cash, Cash Equivalents &amp; Investments - Details</t>
  </si>
  <si>
    <t>Total Cash, Cash Equivalents and Investments</t>
  </si>
  <si>
    <t>attributable to:</t>
  </si>
  <si>
    <t>External Restrictions (refer below)</t>
  </si>
  <si>
    <t>Internal Restrictions (refer below)</t>
  </si>
  <si>
    <t>Unrestricted</t>
  </si>
  <si>
    <t>Details of Restrictions</t>
  </si>
  <si>
    <t>External Restricitons</t>
  </si>
  <si>
    <t>Section 94 Development Contributions</t>
  </si>
  <si>
    <t>Section 93D Affordable Housing</t>
  </si>
  <si>
    <t>Specific Purpose Unexpended Grands</t>
  </si>
  <si>
    <t>Domestic Waste Management</t>
  </si>
  <si>
    <t>Stormwater Management</t>
  </si>
  <si>
    <t>Total External Restrictions</t>
  </si>
  <si>
    <t>Internal Restricitons</t>
  </si>
  <si>
    <t>Plant &amp; Vehicle Replacement</t>
  </si>
  <si>
    <t>Employee Leave Entitlement</t>
  </si>
  <si>
    <t>Deposits, Retentions &amp; Bonds</t>
  </si>
  <si>
    <t>Affordable Housing Rental Scheme</t>
  </si>
  <si>
    <t xml:space="preserve">Des Renford Leisure Centre </t>
  </si>
  <si>
    <t>Election of Councillors</t>
  </si>
  <si>
    <t>Information Technology</t>
  </si>
  <si>
    <t>Infrastructure Reserve</t>
  </si>
  <si>
    <t>Insurance Claims / Risk Management</t>
  </si>
  <si>
    <t>Prince Henry Centre</t>
  </si>
  <si>
    <t>Property Development</t>
  </si>
  <si>
    <t>Randwick Environmental Park</t>
  </si>
  <si>
    <t>Total Internal Restrictions</t>
  </si>
  <si>
    <t>Note 7. Receivables</t>
  </si>
  <si>
    <t>Current</t>
  </si>
  <si>
    <t>Interest &amp; Extra Charges</t>
  </si>
  <si>
    <t>Capital Debtors (being sale of assets)</t>
  </si>
  <si>
    <t>- Other Asset Sales</t>
  </si>
  <si>
    <t>Accrued Revenues</t>
  </si>
  <si>
    <t>- Interest on Investments</t>
  </si>
  <si>
    <t>- Other Income Accruals</t>
  </si>
  <si>
    <t>Government Grants &amp; Subsidies</t>
  </si>
  <si>
    <t>Net GST Receivable</t>
  </si>
  <si>
    <t>Other Debtors</t>
  </si>
  <si>
    <t>Total</t>
  </si>
  <si>
    <t>Less: Provision for Impairment</t>
  </si>
  <si>
    <t>Total Provision for Impairment - Receivables</t>
  </si>
  <si>
    <t>Total Current Receivables</t>
  </si>
  <si>
    <t>Non Current</t>
  </si>
  <si>
    <t>Total Non Current Receivables</t>
  </si>
  <si>
    <r>
      <t xml:space="preserve">Externally Restricted Receivables </t>
    </r>
    <r>
      <rPr>
        <b/>
        <sz val="10"/>
        <color rgb="FFFF0000"/>
        <rFont val="Arial"/>
        <family val="2"/>
      </rPr>
      <t>- Current</t>
    </r>
  </si>
  <si>
    <t>Unrestricted Receivables</t>
  </si>
  <si>
    <r>
      <t xml:space="preserve">TOTAL NET RECEIVABLES </t>
    </r>
    <r>
      <rPr>
        <b/>
        <sz val="10"/>
        <color rgb="FFFF0000"/>
        <rFont val="Arial"/>
        <family val="2"/>
      </rPr>
      <t>- CURRENT</t>
    </r>
  </si>
  <si>
    <r>
      <t xml:space="preserve">Externally Restricted Receivables </t>
    </r>
    <r>
      <rPr>
        <b/>
        <sz val="10"/>
        <color rgb="FFFF0000"/>
        <rFont val="Arial"/>
        <family val="2"/>
      </rPr>
      <t>- Non Current</t>
    </r>
  </si>
  <si>
    <r>
      <t xml:space="preserve">TOTAL NET RECEIVABLES </t>
    </r>
    <r>
      <rPr>
        <b/>
        <sz val="10"/>
        <color rgb="FFFF0000"/>
        <rFont val="Arial"/>
        <family val="2"/>
      </rPr>
      <t>- NON CURRENT</t>
    </r>
  </si>
  <si>
    <t>Note 8. Inventories &amp; Other Assets</t>
  </si>
  <si>
    <t>Inventories</t>
  </si>
  <si>
    <t>Stores &amp; Materials</t>
  </si>
  <si>
    <t>Trading Stock</t>
  </si>
  <si>
    <t>Total Inventories</t>
  </si>
  <si>
    <t>Prepayments</t>
  </si>
  <si>
    <t>Total Other Assets</t>
  </si>
  <si>
    <t>Total Inventories / Other Assets</t>
  </si>
  <si>
    <t>Note 10a. Payables, Borrowings &amp; Provisions</t>
  </si>
  <si>
    <r>
      <t xml:space="preserve">Payables - </t>
    </r>
    <r>
      <rPr>
        <b/>
        <sz val="10"/>
        <color rgb="FFFF0000"/>
        <rFont val="Arial"/>
        <family val="2"/>
      </rPr>
      <t>Current</t>
    </r>
  </si>
  <si>
    <t>Goods &amp; Services - operating expenditure</t>
  </si>
  <si>
    <t>Goods &amp; Services - capital expenditure</t>
  </si>
  <si>
    <t>Payments Received In Advance</t>
  </si>
  <si>
    <t>Accrued Expenses:</t>
  </si>
  <si>
    <t>- Salaries &amp; Wages</t>
  </si>
  <si>
    <t>- Other Expenditure Accruals</t>
  </si>
  <si>
    <t>Security Bonds, Deposits &amp; Retentions</t>
  </si>
  <si>
    <r>
      <t xml:space="preserve">Total Payables - </t>
    </r>
    <r>
      <rPr>
        <b/>
        <sz val="10"/>
        <color rgb="FFFF0000"/>
        <rFont val="Arial"/>
        <family val="2"/>
      </rPr>
      <t>Current</t>
    </r>
  </si>
  <si>
    <r>
      <t xml:space="preserve">Payables - </t>
    </r>
    <r>
      <rPr>
        <b/>
        <sz val="10"/>
        <color rgb="FFFF0000"/>
        <rFont val="Arial"/>
        <family val="2"/>
      </rPr>
      <t>Non Current</t>
    </r>
  </si>
  <si>
    <t>Land Acquisition Compensation</t>
  </si>
  <si>
    <r>
      <t xml:space="preserve">Total Payables - </t>
    </r>
    <r>
      <rPr>
        <b/>
        <sz val="10"/>
        <color rgb="FFFF0000"/>
        <rFont val="Arial"/>
        <family val="2"/>
      </rPr>
      <t>Non Current</t>
    </r>
  </si>
  <si>
    <r>
      <t xml:space="preserve">Provisions - </t>
    </r>
    <r>
      <rPr>
        <b/>
        <sz val="10"/>
        <color rgb="FFFF0000"/>
        <rFont val="Arial"/>
        <family val="2"/>
      </rPr>
      <t>Current</t>
    </r>
  </si>
  <si>
    <t>Annual Leave</t>
  </si>
  <si>
    <t>Sick Leave</t>
  </si>
  <si>
    <t>Long Service Leave</t>
  </si>
  <si>
    <t>Gratuities</t>
  </si>
  <si>
    <t>Other Leave</t>
  </si>
  <si>
    <r>
      <t xml:space="preserve">Total Provisions - </t>
    </r>
    <r>
      <rPr>
        <b/>
        <sz val="10"/>
        <color rgb="FFFF0000"/>
        <rFont val="Arial"/>
        <family val="2"/>
      </rPr>
      <t>Current</t>
    </r>
  </si>
  <si>
    <r>
      <t xml:space="preserve">Provisions - </t>
    </r>
    <r>
      <rPr>
        <b/>
        <sz val="10"/>
        <color rgb="FFFF0000"/>
        <rFont val="Arial"/>
        <family val="2"/>
      </rPr>
      <t>Non Current</t>
    </r>
  </si>
  <si>
    <r>
      <t xml:space="preserve">Total Provisions - </t>
    </r>
    <r>
      <rPr>
        <b/>
        <sz val="10"/>
        <color rgb="FFFF0000"/>
        <rFont val="Arial"/>
        <family val="2"/>
      </rPr>
      <t>Non Current</t>
    </r>
  </si>
  <si>
    <t>(i) Liabilities relating to Restricted Assets</t>
  </si>
  <si>
    <t>Externally Restricted Assets</t>
  </si>
  <si>
    <t>The following Liabilities, even though classified as current, are not expected to be settled in the next 12 months.</t>
  </si>
  <si>
    <t>Provisions - Employee Benefits</t>
  </si>
  <si>
    <t>Payables - Security Bonds, Deposits &amp; Retentions</t>
  </si>
  <si>
    <t>Note 11. Statement of Cash Flows - Additional Information</t>
  </si>
  <si>
    <t>(a) Reconciliation of Cash Assets</t>
  </si>
  <si>
    <t>Total Cash &amp; Cash Equivalent Assets</t>
  </si>
  <si>
    <t>Less Bank Overdraft</t>
  </si>
  <si>
    <t>Balance as per the Statement of Cash Flows</t>
  </si>
  <si>
    <t>(b) Reconciliation of Net Operating Result to Cash provided from Operating Activities</t>
  </si>
  <si>
    <t>Net Operating Result from Income Statement</t>
  </si>
  <si>
    <t>Adjust for non cash items:</t>
  </si>
  <si>
    <t>Depreciation &amp; Amortisation</t>
  </si>
  <si>
    <t>Net Losses/(Gains) on Disposal of Assets</t>
  </si>
  <si>
    <t>Non Cash Capital Grants and Contributions</t>
  </si>
  <si>
    <t>+/- Movement in Operating Assets and Liabilities &amp; Other Cash Items:</t>
  </si>
  <si>
    <t>Decrease/(Increase) in Receivables</t>
  </si>
  <si>
    <t>Decrease/(Increase) in Inventories</t>
  </si>
  <si>
    <t>Decrease/(Increase) in Other Assets</t>
  </si>
  <si>
    <t>Increase/(Decrease) in Payables</t>
  </si>
  <si>
    <t>Increase/(Decrease) in Employee Leave Entitlements</t>
  </si>
  <si>
    <t>Net Cash Provided from/(Used in) Operating Activities from the Statement of Cash Flows</t>
  </si>
  <si>
    <t>Income Statement</t>
  </si>
  <si>
    <t>$ '000</t>
  </si>
  <si>
    <t>Income from Continuing Operations</t>
  </si>
  <si>
    <t>Revenue:</t>
  </si>
  <si>
    <t>Interest &amp; Investment Revenue</t>
  </si>
  <si>
    <t>Other Revenue</t>
  </si>
  <si>
    <t>Grants &amp; Contributions provided for Operating Purposes</t>
  </si>
  <si>
    <t>Grants &amp; Contributions provided for Capital Purposes</t>
  </si>
  <si>
    <t>Other Income:</t>
  </si>
  <si>
    <t>Net gains from the disposal of assets</t>
  </si>
  <si>
    <t>Net Share of interest in Joint Ventures &amp; Associated Entities using the equity method</t>
  </si>
  <si>
    <t>Total Income from Continuing Operations</t>
  </si>
  <si>
    <t>Borrowing Costs</t>
  </si>
  <si>
    <t>Impairment</t>
  </si>
  <si>
    <t>Net Losses from the Disposal of Assets</t>
  </si>
  <si>
    <t>Total Expenses from Continuing Operations</t>
  </si>
  <si>
    <t>Operating Result from Continuing Operations</t>
  </si>
  <si>
    <t>Discontinued Operations</t>
  </si>
  <si>
    <t>Net Profit/(Loss) from Discontinued Operations</t>
  </si>
  <si>
    <t>Net Operating Result for the Year</t>
  </si>
  <si>
    <t>Net Operating Result attributable to Council</t>
  </si>
  <si>
    <t>Net Operating Result for the year before Grants and Contributions provided for Capital Purposes</t>
  </si>
  <si>
    <t>Statement of Financial Position</t>
  </si>
  <si>
    <t>ASSETS</t>
  </si>
  <si>
    <t>Current Assets</t>
  </si>
  <si>
    <t>Cash &amp; Cash Equivalents</t>
  </si>
  <si>
    <t>Investments</t>
  </si>
  <si>
    <t>Receivables</t>
  </si>
  <si>
    <t>Total Current Assets</t>
  </si>
  <si>
    <t>Non-Current Assets</t>
  </si>
  <si>
    <t>Infrastructure, Property, Plant &amp; Equipment</t>
  </si>
  <si>
    <t>Investment Property</t>
  </si>
  <si>
    <t>Intangible Assets</t>
  </si>
  <si>
    <t>Total Non-Current Assets</t>
  </si>
  <si>
    <t>TOTAL ASSETS</t>
  </si>
  <si>
    <t>LIABILITIES</t>
  </si>
  <si>
    <t>Current Liabilities</t>
  </si>
  <si>
    <t>Payables</t>
  </si>
  <si>
    <t>Borrowing</t>
  </si>
  <si>
    <t>Provisions</t>
  </si>
  <si>
    <t>Non-Current Liabilities</t>
  </si>
  <si>
    <t>TOTAL LIABILITIES</t>
  </si>
  <si>
    <t>Net Assets</t>
  </si>
  <si>
    <t>EQUITY</t>
  </si>
  <si>
    <t>Retained Earnings</t>
  </si>
  <si>
    <t>Revaluation Reserve</t>
  </si>
  <si>
    <t>Total Equity</t>
  </si>
  <si>
    <t>Cashflow Statement</t>
  </si>
  <si>
    <t>Investment &amp; Interest Revenue Received</t>
  </si>
  <si>
    <t>Grants &amp; Contributions</t>
  </si>
  <si>
    <t>Bonds, Deposits &amp; Retention amounts received</t>
  </si>
  <si>
    <t>Payments:</t>
  </si>
  <si>
    <t>Net Cash provided (or used in) Operating Activities</t>
  </si>
  <si>
    <t>Cash Flows from Investing Activities</t>
  </si>
  <si>
    <t>Sale of Investment Securities</t>
  </si>
  <si>
    <t>Sale of Infrastructure, Property, Plant &amp; Equipment</t>
  </si>
  <si>
    <t>Purchase of Investment Securities</t>
  </si>
  <si>
    <t>Purchase of Infrastructure, Property, Plant &amp; Equipment</t>
  </si>
  <si>
    <t>Net Cash provided (or used in) Investing Activities</t>
  </si>
  <si>
    <t>&lt;&lt;&lt; Cash surplus/(deficit) after purchasing assets</t>
  </si>
  <si>
    <t>&lt;&lt;&lt; Manual adjust to ensure enough cash for purchase of assets</t>
  </si>
  <si>
    <t>Cash Flows from Financing Activities</t>
  </si>
  <si>
    <t>Net Increase/(Decrease) in Cash &amp; Cash Equivalents</t>
  </si>
  <si>
    <r>
      <rPr>
        <sz val="10"/>
        <color theme="1"/>
        <rFont val="Arial"/>
        <family val="2"/>
      </rPr>
      <t xml:space="preserve">plus: </t>
    </r>
    <r>
      <rPr>
        <b/>
        <sz val="10"/>
        <color theme="1"/>
        <rFont val="Arial"/>
        <family val="2"/>
      </rPr>
      <t>Cash &amp; Cash Equivalents - beginning of year</t>
    </r>
  </si>
  <si>
    <t>Cash &amp; Cash Equivalents - end of the year</t>
  </si>
  <si>
    <t>Funding Statement</t>
  </si>
  <si>
    <t>Operating Revenue</t>
  </si>
  <si>
    <t>Total Operating Revenue</t>
  </si>
  <si>
    <t>Operating Expenses</t>
  </si>
  <si>
    <t>Operating Result from Operations before Capital</t>
  </si>
  <si>
    <t>Capital Revenue - Grants and Contributions</t>
  </si>
  <si>
    <t>Operating Result from Operations</t>
  </si>
  <si>
    <t>Add back depreciation</t>
  </si>
  <si>
    <t>Funding available for capital expenditure</t>
  </si>
  <si>
    <t>Capital Expenditure on Assets</t>
  </si>
  <si>
    <t>Proceeds from Sale of Non-current Assets</t>
  </si>
  <si>
    <t>Net Capital Additions</t>
  </si>
  <si>
    <t>Net Transfer to/(from) reserves</t>
  </si>
  <si>
    <t>Net Overall Funding Surplus/(Deficit)</t>
  </si>
  <si>
    <t>Capital Expenditure</t>
  </si>
  <si>
    <t>Infrastructure Capital Expenditure</t>
  </si>
  <si>
    <t>Open Space/Recreational Assets</t>
  </si>
  <si>
    <t>Total Infrastructure</t>
  </si>
  <si>
    <t>Other Capital Expenditure</t>
  </si>
  <si>
    <t>Plant and Equipment (net sale proceeds)</t>
  </si>
  <si>
    <t>Furniture and Fittings</t>
  </si>
  <si>
    <t>Total Other</t>
  </si>
  <si>
    <t>Total Capital Expenditure</t>
  </si>
  <si>
    <t>Source of Funds</t>
  </si>
  <si>
    <t>Total Source of Funds</t>
  </si>
  <si>
    <t>Surplus / (Deficit)</t>
  </si>
  <si>
    <t>Reserves Closing Balance</t>
  </si>
  <si>
    <t>Externally Restricted Reserves</t>
  </si>
  <si>
    <t>Specific Purpose Unexpended Grants</t>
  </si>
  <si>
    <t>Total Externally Restricted Reserves</t>
  </si>
  <si>
    <t>Internally Restricted Reserves</t>
  </si>
  <si>
    <t>Total Internally Restricted Reserves</t>
  </si>
  <si>
    <t>Total Reserves</t>
  </si>
  <si>
    <t>Opening Receivable - Interest &amp; Extra Charges</t>
  </si>
  <si>
    <t>Closing Receivable - Interest &amp; Extra Charges</t>
  </si>
  <si>
    <t>Opening Receivable - Accrued Interest on Investments</t>
  </si>
  <si>
    <t>Closing Receivable - Accrued Interest on Investments</t>
  </si>
  <si>
    <t>Cashflow - Investment &amp; Interest Revenue Received</t>
  </si>
  <si>
    <t>Opening Receivable - Grants &amp; Contributions</t>
  </si>
  <si>
    <t>Closing Receivable - Grants &amp; Contributions</t>
  </si>
  <si>
    <t>Cashflow - Grants &amp; Contributions</t>
  </si>
  <si>
    <t>Bonds &amp; Deposits</t>
  </si>
  <si>
    <t>Opening Payable - Bonds &amp; Deposits</t>
  </si>
  <si>
    <t>Closing Payable - Bonds &amp; Deposits</t>
  </si>
  <si>
    <t>Cashflow - Bonds &amp; Deposits</t>
  </si>
  <si>
    <t>Opening Receivable - Other Revenue</t>
  </si>
  <si>
    <t>Closing Receivable - Other Revenue</t>
  </si>
  <si>
    <t>Cashflow - Other</t>
  </si>
  <si>
    <t>Employee Costs</t>
  </si>
  <si>
    <t>Opening Payable - Employee Costs</t>
  </si>
  <si>
    <t>Closing Payable - Employee Costs</t>
  </si>
  <si>
    <t>Opening Provision - Employee Benefits</t>
  </si>
  <si>
    <t>Closing Provision - Employee Benefits</t>
  </si>
  <si>
    <t>Cashflow - Employee Costs</t>
  </si>
  <si>
    <t>Opening Payable - Materials &amp; Contracts</t>
  </si>
  <si>
    <t>Closing Payable - Materials &amp; Contracts</t>
  </si>
  <si>
    <t>Cashflow - Materials &amp; Contracts</t>
  </si>
  <si>
    <t>Opening Payable - Other</t>
  </si>
  <si>
    <t>Closing Payable - Other</t>
  </si>
  <si>
    <t>Opening Receivable - PP&amp;E Sales</t>
  </si>
  <si>
    <t>Closing Receivable - PP&amp;E Sales</t>
  </si>
  <si>
    <t>Cashflow - Sale of Infrastructure, Property, Plant &amp; Equipment</t>
  </si>
  <si>
    <t>Depreciation</t>
  </si>
  <si>
    <t>Opening Balance - PP&amp;E</t>
  </si>
  <si>
    <t>Closing Balance - PP&amp;E</t>
  </si>
  <si>
    <t>Opening Payable - Goods &amp; Services Capital</t>
  </si>
  <si>
    <t>Closing Payable - Goods &amp; Services Capital</t>
  </si>
  <si>
    <t>Sale of Assets</t>
  </si>
  <si>
    <t>Revaluation</t>
  </si>
  <si>
    <t>Cashflow - Purchase of Infrastructure, Property, Plant &amp; Equipment</t>
  </si>
  <si>
    <t>&lt;&lt;&lt; should be 0</t>
  </si>
  <si>
    <t>Note 13a. Working Paper</t>
  </si>
  <si>
    <t>1. Operating Performance Ratio</t>
  </si>
  <si>
    <t>Total continuing operating revenue</t>
  </si>
  <si>
    <r>
      <rPr>
        <sz val="9"/>
        <color theme="1"/>
        <rFont val="Arial"/>
        <family val="2"/>
      </rPr>
      <t>(excl. Capital Grants &amp; Contributions)</t>
    </r>
    <r>
      <rPr>
        <sz val="10"/>
        <color theme="1"/>
        <rFont val="Arial"/>
        <family val="2"/>
      </rPr>
      <t xml:space="preserve"> - Operating Expenses</t>
    </r>
  </si>
  <si>
    <t>(excl. Capital Grants &amp; Contributions)</t>
  </si>
  <si>
    <t>Numerator:</t>
  </si>
  <si>
    <t>less:</t>
  </si>
  <si>
    <t>Capital Grants</t>
  </si>
  <si>
    <t>Capital Contributions</t>
  </si>
  <si>
    <t>Net Gain on sale of assets</t>
  </si>
  <si>
    <t>Denominator:</t>
  </si>
  <si>
    <t>2. Own Source Operating Revenue</t>
  </si>
  <si>
    <r>
      <t>Total continuing operating revenue</t>
    </r>
    <r>
      <rPr>
        <sz val="9"/>
        <color theme="1"/>
        <rFont val="Arial"/>
        <family val="2"/>
      </rPr>
      <t xml:space="preserve"> (less ALL grants &amp; Contributions)</t>
    </r>
  </si>
  <si>
    <r>
      <t>Total continuing operating revenue</t>
    </r>
    <r>
      <rPr>
        <sz val="9"/>
        <color theme="1"/>
        <rFont val="Arial"/>
        <family val="2"/>
      </rPr>
      <t xml:space="preserve"> (inclusive of Capital Grants &amp; Contributions)</t>
    </r>
  </si>
  <si>
    <t>ALL Grants</t>
  </si>
  <si>
    <t>ALL Capital Contributions</t>
  </si>
  <si>
    <t>3. Unrestricted Current Ratio</t>
  </si>
  <si>
    <t>Current Assets less all External Restrictions</t>
  </si>
  <si>
    <t>Current Liabilities less Specific Purpose Liabilities</t>
  </si>
  <si>
    <t>External Restrictions - Note 6 (Cash)</t>
  </si>
  <si>
    <t>External Restrictions - Note 7 (Receivables)</t>
  </si>
  <si>
    <t>External Restrictions - Note 10</t>
  </si>
  <si>
    <t>Current Liabilities not expected to be settled in next 12 months - Note 10</t>
  </si>
  <si>
    <t>5. Rates, Annual Charges, Interest &amp;</t>
  </si>
  <si>
    <t xml:space="preserve">    Extra Charges Outstanding Percentage</t>
  </si>
  <si>
    <t>Rates, Annual and Extra Charges Outstanding</t>
  </si>
  <si>
    <t>Rates, Annual and Extra Charges Collectible</t>
  </si>
  <si>
    <t>Outstanding rates and annual charges - Current (Note 7)</t>
  </si>
  <si>
    <t>Outstanding rates and annual charges - Non Current (Note 7)</t>
  </si>
  <si>
    <t>Interest and extra charges - Current (Note 7)</t>
  </si>
  <si>
    <t>Interest and extra charges - Non Current (Note 7)</t>
  </si>
  <si>
    <t>Rates and annual charges levied for the current year - Note 3(a)</t>
  </si>
  <si>
    <t>Interest and extra charges levied during the current year (Note 3b): Interest</t>
  </si>
  <si>
    <t>Rates and annual charges outstanding for the previous year - Current (Note 7)</t>
  </si>
  <si>
    <t>Rates and annual charges outstanding for the previous year - Non Current (Note 7)</t>
  </si>
  <si>
    <t>Interest and extra charges outstanding for the previous year - Current (Note 7)</t>
  </si>
  <si>
    <t>Interest and extra charges outstanding for the previous year - Non Current (Note 7)</t>
  </si>
  <si>
    <t>6. Cash Expense Cover Ratio</t>
  </si>
  <si>
    <t>Current Year's Cash and Cash Equivalents including All Term Deposits X 12</t>
  </si>
  <si>
    <t>Payments from cash flow of operating and financing activities</t>
  </si>
  <si>
    <t>Cash</t>
  </si>
  <si>
    <t>Cash Eqivalents</t>
  </si>
  <si>
    <t>Term Deposits - Current</t>
  </si>
  <si>
    <t>Term Deposits - Non Current</t>
  </si>
  <si>
    <t>Denominator divided by 12:</t>
  </si>
  <si>
    <t>Payments from cash flow - operating activities</t>
  </si>
  <si>
    <t>Payments from cash flow - financing activities</t>
  </si>
  <si>
    <t>Note 13a. Statement of Performance Measurement - Indicators</t>
  </si>
  <si>
    <t>Local Government Industry Indicators - Consolidated</t>
  </si>
  <si>
    <t>2. Own Source Operating Revenue Ratio</t>
  </si>
  <si>
    <t>(less ALL Grants &amp; Contributions)</t>
  </si>
  <si>
    <t>4. Debt Service Cover Ratio</t>
  </si>
  <si>
    <t>Operating Result before capital excluding interest</t>
  </si>
  <si>
    <t>and depreciation / impairment / amortisation (EBITDA)</t>
  </si>
  <si>
    <r>
      <t>Principal Repayments</t>
    </r>
    <r>
      <rPr>
        <sz val="9"/>
        <color theme="1"/>
        <rFont val="Arial"/>
        <family val="2"/>
      </rPr>
      <t xml:space="preserve"> (from the Statement of Cash Flows)</t>
    </r>
  </si>
  <si>
    <r>
      <t>+ Borrowing Interest Costs</t>
    </r>
    <r>
      <rPr>
        <sz val="9"/>
        <color theme="1"/>
        <rFont val="Arial"/>
        <family val="2"/>
      </rPr>
      <t xml:space="preserve"> (from the Income Statement)</t>
    </r>
  </si>
  <si>
    <t>Current Year's Cash and Cash Equivalents</t>
  </si>
  <si>
    <t>including All Term Deposits X 12</t>
  </si>
  <si>
    <t>Payments from cash flow of operating and</t>
  </si>
  <si>
    <t>financing activities</t>
  </si>
  <si>
    <t>Performance Measurement Working Paper</t>
  </si>
  <si>
    <t>5. Unrestricted Current Ratio</t>
  </si>
  <si>
    <t>Current Assets less all External + Internal Restrictions</t>
  </si>
  <si>
    <t>Current Liabilities less Specific Purpose Liabilities and ELE and Bonds</t>
  </si>
  <si>
    <t>All internal restrictions</t>
  </si>
  <si>
    <t>Current Other Assets not receivable in next 12 months - Note 8</t>
  </si>
  <si>
    <t>Internal Restrictions - Creditors</t>
  </si>
  <si>
    <t>ELE Payable in next 12 months</t>
  </si>
  <si>
    <t>Bonds Payable in next 12 months</t>
  </si>
  <si>
    <t>9. Employee Leave Entitlements Funding</t>
  </si>
  <si>
    <t>Employee Leave Entitlements Reserve</t>
  </si>
  <si>
    <t>Employee Leave Entitlements Provision</t>
  </si>
  <si>
    <t>14. Capital expenditure as a percentage of total revenue</t>
  </si>
  <si>
    <t>Total Revenue</t>
  </si>
  <si>
    <t>Special Schedule 7 Working Paper</t>
  </si>
  <si>
    <t>1. Building and Infrastructure Renewals Ratio</t>
  </si>
  <si>
    <t>Asset Renewals (Building and Infrastructure)</t>
  </si>
  <si>
    <t>Depreciation, Amortisation &amp; Impairment</t>
  </si>
  <si>
    <t>Asset Renewals (Building &amp; Infrastructure)</t>
  </si>
  <si>
    <t>- Buildings</t>
  </si>
  <si>
    <t>- Roads</t>
  </si>
  <si>
    <t>- Footpaths</t>
  </si>
  <si>
    <t>- Stormwater Drainage</t>
  </si>
  <si>
    <t>- Swimming Pools</t>
  </si>
  <si>
    <t>- Other Open Space/Recreational Assets</t>
  </si>
  <si>
    <t>Reconcil - Shoud be 0 &gt;&gt;&gt;</t>
  </si>
  <si>
    <t>Buildings - Depreciation</t>
  </si>
  <si>
    <t>Roads - Depreciation</t>
  </si>
  <si>
    <t>Footpaths - Depreciation</t>
  </si>
  <si>
    <t>Stormwater Drainage - Depreciation</t>
  </si>
  <si>
    <t>Swimming Pools - Depreciation</t>
  </si>
  <si>
    <t>Other Open Space / Recreational Assets - Depreciation</t>
  </si>
  <si>
    <t>2. Infrastructure Backlog Ratio</t>
  </si>
  <si>
    <t>Estimated Cost to bring Assets to a Satisfactory Condition</t>
  </si>
  <si>
    <r>
      <t xml:space="preserve">Total </t>
    </r>
    <r>
      <rPr>
        <sz val="10"/>
        <color rgb="FFFF0000"/>
        <rFont val="Arial"/>
        <family val="2"/>
      </rPr>
      <t>(written down)</t>
    </r>
    <r>
      <rPr>
        <sz val="10"/>
        <color theme="1"/>
        <rFont val="Arial"/>
        <family val="2"/>
      </rPr>
      <t xml:space="preserve"> value of Infrastructure, Building, Other Structure &amp;</t>
    </r>
  </si>
  <si>
    <t>Depreciable Land Improvement Assets</t>
  </si>
  <si>
    <t>- Buidlings</t>
  </si>
  <si>
    <t>- Depreciable Land Improvement Assets</t>
  </si>
  <si>
    <t>3. Asset Maintenance Ratio</t>
  </si>
  <si>
    <t>Actual Asset Maintenance</t>
  </si>
  <si>
    <t>Required Asset Maintenance</t>
  </si>
  <si>
    <t>4. Capital Expenditure Ratio</t>
  </si>
  <si>
    <t>Annual Capital Expenditure</t>
  </si>
  <si>
    <t>Annual Depreciation</t>
  </si>
  <si>
    <r>
      <t>Annual Capital Expenditure</t>
    </r>
    <r>
      <rPr>
        <sz val="8"/>
        <color theme="1"/>
        <rFont val="Arial"/>
        <family val="2"/>
      </rPr>
      <t xml:space="preserve"> (Note 9 - New, Renewal, Replacement &amp; Re-Instatements)</t>
    </r>
  </si>
  <si>
    <t>WDV of IPP&amp;E Disposals</t>
  </si>
  <si>
    <t>Annual Depreciation &amp; Amortisation</t>
  </si>
  <si>
    <t>Special Schedule No. 7 - Report on Infrastructure Assets</t>
  </si>
  <si>
    <t>Infrastructure Asset Performance Indicators Consolidated</t>
  </si>
  <si>
    <t xml:space="preserve">Estimated Cost to bring Assets to a </t>
  </si>
  <si>
    <t>Satisfactory Condition</t>
  </si>
  <si>
    <t>Total value of Infrastructure, Building, Other Structures</t>
  </si>
  <si>
    <t>&amp; Depreciable Land Improvement Assets</t>
  </si>
  <si>
    <t>Check Points</t>
  </si>
  <si>
    <t>Ensure the Net Assets figures on the Balance Sheet agree to the Total Equity figures on the Balance Sheet</t>
  </si>
  <si>
    <t>Ensure the movements in Retained Earnings on the Balance Sheet is equal to Net Operating Results on the Income Statement</t>
  </si>
  <si>
    <t>NA</t>
  </si>
  <si>
    <t>TARGET</t>
  </si>
  <si>
    <t>Budget Performance</t>
  </si>
  <si>
    <t>Balanced Budget</t>
  </si>
  <si>
    <t>&gt;= $0</t>
  </si>
  <si>
    <t>Operating Performance Ratio</t>
  </si>
  <si>
    <t>Own Source Operating Revenue Ratio</t>
  </si>
  <si>
    <t>&gt;= 60%</t>
  </si>
  <si>
    <t>Operational Liquidity</t>
  </si>
  <si>
    <t>Unrestricted Cash</t>
  </si>
  <si>
    <t>Unrestricted Current Ratio</t>
  </si>
  <si>
    <t>Rates, Annual Charges, Interest &amp; Extra Charges Outstanding Percentage</t>
  </si>
  <si>
    <t>&lt; 4%</t>
  </si>
  <si>
    <t>Cash Expense Cover Ratio</t>
  </si>
  <si>
    <t>&gt;= 3</t>
  </si>
  <si>
    <t>Liability and Debt Management</t>
  </si>
  <si>
    <t>Debt Service Cover Ratio</t>
  </si>
  <si>
    <t>Employee Leave Entitlements Funding</t>
  </si>
  <si>
    <t>ELE Demographic Target Level</t>
  </si>
  <si>
    <t>Asset Management</t>
  </si>
  <si>
    <t>Building and Infrastructure Renewals Ratio</t>
  </si>
  <si>
    <t>&gt;= 100%</t>
  </si>
  <si>
    <t>Infrastructure Backlog Ratio</t>
  </si>
  <si>
    <t>&lt;= 2%</t>
  </si>
  <si>
    <t>Asset Maintenance Ratio</t>
  </si>
  <si>
    <t>&gt;= 1</t>
  </si>
  <si>
    <t>Capital Expenditure Ratio</t>
  </si>
  <si>
    <t>- annual capital expenditure divided by annual depreciation</t>
  </si>
  <si>
    <t xml:space="preserve">Capital expenditure as a percentage of </t>
  </si>
  <si>
    <t>&gt;= 20%</t>
  </si>
  <si>
    <t>total revenue</t>
  </si>
  <si>
    <t>Superannuation</t>
  </si>
  <si>
    <t>Permanent Salaries</t>
  </si>
  <si>
    <t>Permanent Salaries - SGC Super</t>
  </si>
  <si>
    <t>Permanent Salaries - TRP</t>
  </si>
  <si>
    <t>Permanent Salaries - Defined Benefit</t>
  </si>
  <si>
    <t>Total Permanent Salaries</t>
  </si>
  <si>
    <t>Salaries Increase TRP</t>
  </si>
  <si>
    <t>Award Increase</t>
  </si>
  <si>
    <t>Casual Salaries</t>
  </si>
  <si>
    <t>Overtime</t>
  </si>
  <si>
    <t>SGC Superannuation</t>
  </si>
  <si>
    <t>Defined Benefit Super</t>
  </si>
  <si>
    <t>Permanent Salaries - SGC Super (52 wks)</t>
  </si>
  <si>
    <t>Average Salaries Increase</t>
  </si>
  <si>
    <t>Utilities</t>
  </si>
  <si>
    <t>Workers' compensation</t>
  </si>
  <si>
    <t>La Perous Museum</t>
  </si>
  <si>
    <t>ICT Adjustments</t>
  </si>
  <si>
    <t>Asset Additions - Renewal</t>
  </si>
  <si>
    <t>Asset Additions - New</t>
  </si>
  <si>
    <t>Total Buildings - New</t>
  </si>
  <si>
    <t>Total Buildings - Renewal</t>
  </si>
  <si>
    <t>Others</t>
  </si>
  <si>
    <t>Revaluation Increments - Buildings</t>
  </si>
  <si>
    <t>Revaluation Increments - Roads</t>
  </si>
  <si>
    <t>Revaluation Increments - Drainage</t>
  </si>
  <si>
    <t>Revaluation Increments - Open Space</t>
  </si>
  <si>
    <t>Total Drainage - New</t>
  </si>
  <si>
    <t>Total Drainage - Renewal</t>
  </si>
  <si>
    <t>Total Footpaths - New</t>
  </si>
  <si>
    <t>Total Footpaths - Renewal</t>
  </si>
  <si>
    <t>Total Roads - New</t>
  </si>
  <si>
    <t>Total Roads - Renewal</t>
  </si>
  <si>
    <t>Total Swimming Pools - New</t>
  </si>
  <si>
    <t>Total Swimming Pools - Renewal</t>
  </si>
  <si>
    <t>Total Open Space - New</t>
  </si>
  <si>
    <t>Total Open Space - Renewal</t>
  </si>
  <si>
    <t>Total DLI - New</t>
  </si>
  <si>
    <t>Total DLI - Renewal</t>
  </si>
  <si>
    <t>Revaluation Increments to Accum Depn</t>
  </si>
  <si>
    <t>Revaluation Increments to Fair Value</t>
  </si>
  <si>
    <t>Total Current Liabilities</t>
  </si>
  <si>
    <t>Total Non-Current Liabilities</t>
  </si>
  <si>
    <t>(ii) Current Liabilities not anticipated to be settled within the next 12 months</t>
  </si>
  <si>
    <t>Net carrying amount of infrastructure assets</t>
  </si>
  <si>
    <t>The Heffron Centre</t>
  </si>
  <si>
    <t>&gt;= 1.5</t>
  </si>
  <si>
    <t>&gt;0%</t>
  </si>
  <si>
    <t>Light Rail Support Plan</t>
  </si>
  <si>
    <t>La Perouse Museum</t>
  </si>
  <si>
    <t>&lt;&lt;&lt; total salaries and materials</t>
  </si>
  <si>
    <t>&lt;&lt;&lt; per centage for asset maintenance</t>
  </si>
  <si>
    <t>Admin Building</t>
  </si>
  <si>
    <t>Loan Proceeds</t>
  </si>
  <si>
    <t>Loan Principal Repayment</t>
  </si>
  <si>
    <t>Borrowings and advances</t>
  </si>
  <si>
    <t>Net Cash provided (or used in) Financing Activities</t>
  </si>
  <si>
    <t>Operating results before capital excluding interest and deprecitaion</t>
  </si>
  <si>
    <t>Principal repayments + borrowing costs</t>
  </si>
  <si>
    <t>Operating Result from continuing oerpations</t>
  </si>
  <si>
    <t>Less Capital Grants and Contribuutoins</t>
  </si>
  <si>
    <t>Plus Depreciation</t>
  </si>
  <si>
    <t>Plus Interest</t>
  </si>
  <si>
    <t>Principal repayments (from the Statement of Cash Flows)</t>
  </si>
  <si>
    <t>Borrowing interest costs (from the Income Statement)</t>
  </si>
  <si>
    <t>Plus Loss on Disposal</t>
  </si>
  <si>
    <t>2.00x</t>
  </si>
  <si>
    <t>Performance Measurement Indicators</t>
  </si>
  <si>
    <t>&gt; $1,000</t>
  </si>
  <si>
    <t>Long Term Financial Plan 2018-28</t>
  </si>
  <si>
    <t>measures the extent to which a council has succeeded in containing operating expenditure within operating revenue</t>
  </si>
  <si>
    <t>measures fiscal flexibility. It is the degree of reliance on external funding sources</t>
  </si>
  <si>
    <t>cash levels less externally and internally restricted reserves</t>
  </si>
  <si>
    <t>represents a council’s ability to meet short-term obligations as they fall due.</t>
  </si>
  <si>
    <t>expressed as a percentage of total rates and charges available for collection in the financial year</t>
  </si>
  <si>
    <t>liquidity ratio indicates the number of months a council can continue paying for its immediate expenses without additional cash inflow</t>
  </si>
  <si>
    <t>measures the availability of operating cash to service loan repayments.</t>
  </si>
  <si>
    <t>percentage of employee leave entitlements held in cash</t>
  </si>
  <si>
    <t>utilisation of councils funds minus total sources of income</t>
  </si>
  <si>
    <t>assesses the rate at which these assets are being renewed against the rate at which they are depreciating</t>
  </si>
  <si>
    <t>ratio shows what proportion the infrastructure backlog is against the total value of a council’s infrastructure</t>
  </si>
  <si>
    <t>ratio compares actual versus required annual asset maintenance. A ratio of above 100% indicates that the council is investing enough funds that year to halt the infrastructure backlog from growing.</t>
  </si>
  <si>
    <t>Option 3 PREFERRED APPROACH</t>
  </si>
  <si>
    <t xml:space="preserve">Productivity Improvements </t>
  </si>
  <si>
    <t>Net Operating Result attributable to Non-controlling Interests</t>
  </si>
  <si>
    <t>Non-current assets classified as "held for sale"</t>
  </si>
  <si>
    <t>Investments accounted for using the equity method</t>
  </si>
  <si>
    <r>
      <t xml:space="preserve">Borrowings- </t>
    </r>
    <r>
      <rPr>
        <b/>
        <sz val="10"/>
        <color rgb="FFFF0000"/>
        <rFont val="Arial"/>
        <family val="2"/>
      </rPr>
      <t>Current</t>
    </r>
  </si>
  <si>
    <r>
      <t xml:space="preserve">Borrowings- </t>
    </r>
    <r>
      <rPr>
        <b/>
        <sz val="10"/>
        <color rgb="FFFF0000"/>
        <rFont val="Arial"/>
        <family val="2"/>
      </rPr>
      <t>Non Current</t>
    </r>
  </si>
  <si>
    <t>&lt;&lt;&lt; updated Dec 2017 from Imperium Markets</t>
  </si>
  <si>
    <t>Checklist for Long Term Financial Plan</t>
  </si>
  <si>
    <t>Salaries Increase Casual</t>
  </si>
  <si>
    <t>Expenses from Continuing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</si>
</sst>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&quot;$&quot;#,##0.00_);[Red]\(&quot;$&quot;#,##0.00\)"/>
    <numFmt numFmtId="165" formatCode="_-* #,##0.0000_-;\-* #,##0.0000_-;_-* &quot;-&quot;??_-;_-@_-"/>
    <numFmt numFmtId="166" formatCode="#,##0;[Red]\(#,##0\);\-"/>
    <numFmt numFmtId="167" formatCode="##,##0;\(##,##0\)"/>
    <numFmt numFmtId="168" formatCode="#,##0.00_ ;[Red]\-#,##0.00;\-"/>
    <numFmt numFmtId="169" formatCode="_(* #,##0_);_(* \(#,##0\);_(* &quot;-&quot;??_);_(@_)"/>
    <numFmt numFmtId="170" formatCode="0.0%"/>
    <numFmt numFmtId="171" formatCode="#,##0,;[Red]\(#,##0,\);\-"/>
    <numFmt numFmtId="172" formatCode="#,##0,;\(#,##0,\);\-"/>
    <numFmt numFmtId="173" formatCode="&quot;$&quot;#,##0,;[Red]&quot;$&quot;\(#,##0,\);&quot;$&quot;\-"/>
    <numFmt numFmtId="174" formatCode="#,##0_ ;[Red]\-#,##0\ "/>
    <numFmt numFmtId="175" formatCode="&quot;$&quot;#,##0.00"/>
    <numFmt numFmtId="176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5" tint="-0.249977111117893"/>
      <name val="Arial"/>
      <family val="2"/>
    </font>
    <font>
      <b/>
      <sz val="14"/>
      <color theme="4" tint="-0.249977111117893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2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9C0006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color rgb="FF0070C0"/>
      <name val="Arial"/>
      <family val="2"/>
    </font>
    <font>
      <i/>
      <sz val="10"/>
      <color theme="1"/>
      <name val="Arial"/>
      <family val="2"/>
    </font>
    <font>
      <b/>
      <sz val="10"/>
      <color rgb="FFC00000"/>
      <name val="Arial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color rgb="FF0070C0"/>
      <name val="Arial"/>
      <family val="2"/>
    </font>
    <font>
      <b/>
      <u/>
      <sz val="10"/>
      <color rgb="FF0070C0"/>
      <name val="Arial"/>
      <family val="2"/>
    </font>
    <font>
      <b/>
      <sz val="11"/>
      <color theme="4" tint="-0.249977111117893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b/>
      <i/>
      <sz val="10"/>
      <color rgb="FF0070C0"/>
      <name val="Arial"/>
      <family val="2"/>
    </font>
    <font>
      <b/>
      <sz val="11"/>
      <color theme="0"/>
      <name val="Arial"/>
      <family val="2"/>
    </font>
    <font>
      <i/>
      <sz val="10"/>
      <color theme="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sz val="12"/>
      <color theme="1"/>
      <name val="Arial"/>
      <family val="2"/>
    </font>
    <font>
      <strike/>
      <sz val="10"/>
      <color theme="1"/>
      <name val="Arial"/>
      <family val="2"/>
    </font>
    <font>
      <i/>
      <sz val="11"/>
      <color theme="5"/>
      <name val="Calibri"/>
      <family val="2"/>
      <scheme val="minor"/>
    </font>
    <font>
      <i/>
      <sz val="10"/>
      <color rgb="FF0070C0"/>
      <name val="Arial"/>
      <family val="2"/>
    </font>
    <font>
      <i/>
      <sz val="11"/>
      <color rgb="FF0070C0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14"/>
      <color rgb="FF156570"/>
      <name val="Arial"/>
      <family val="2"/>
    </font>
    <font>
      <b/>
      <sz val="11"/>
      <color rgb="FF156570"/>
      <name val="Arial"/>
      <family val="2"/>
    </font>
    <font>
      <b/>
      <sz val="10"/>
      <color rgb="FF156570"/>
      <name val="Arial"/>
      <family val="2"/>
    </font>
    <font>
      <b/>
      <sz val="12"/>
      <color rgb="FF156570"/>
      <name val="Arial"/>
      <family val="2"/>
    </font>
    <font>
      <b/>
      <i/>
      <sz val="10"/>
      <color rgb="FF156570"/>
      <name val="Arial"/>
      <family val="2"/>
    </font>
    <font>
      <b/>
      <u/>
      <sz val="10"/>
      <color rgb="FF156570"/>
      <name val="Arial"/>
      <family val="2"/>
    </font>
    <font>
      <i/>
      <sz val="11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7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5657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5" borderId="0" applyNumberFormat="0" applyBorder="0" applyAlignment="0" applyProtection="0"/>
    <xf numFmtId="175" fontId="41" fillId="19" borderId="0" applyFont="0" applyFill="0" applyBorder="0" applyProtection="0">
      <alignment horizontal="right" indent="2"/>
    </xf>
  </cellStyleXfs>
  <cellXfs count="20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0" borderId="0" xfId="0" applyFont="1"/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2" borderId="1" xfId="0" applyFont="1" applyFill="1" applyBorder="1"/>
    <xf numFmtId="10" fontId="4" fillId="2" borderId="1" xfId="1" applyNumberFormat="1" applyFont="1" applyFill="1" applyBorder="1"/>
    <xf numFmtId="0" fontId="6" fillId="3" borderId="2" xfId="0" applyFont="1" applyFill="1" applyBorder="1" applyAlignment="1">
      <alignment horizontal="center" vertical="center"/>
    </xf>
    <xf numFmtId="0" fontId="5" fillId="0" borderId="1" xfId="0" applyFont="1" applyBorder="1"/>
    <xf numFmtId="10" fontId="5" fillId="0" borderId="1" xfId="1" applyNumberFormat="1" applyFont="1" applyBorder="1"/>
    <xf numFmtId="164" fontId="5" fillId="0" borderId="1" xfId="0" applyNumberFormat="1" applyFont="1" applyBorder="1"/>
    <xf numFmtId="38" fontId="5" fillId="0" borderId="1" xfId="0" applyNumberFormat="1" applyFont="1" applyBorder="1"/>
    <xf numFmtId="165" fontId="5" fillId="0" borderId="1" xfId="2" applyNumberFormat="1" applyFont="1" applyBorder="1"/>
    <xf numFmtId="0" fontId="4" fillId="0" borderId="0" xfId="0" applyFont="1" applyFill="1" applyBorder="1"/>
    <xf numFmtId="10" fontId="0" fillId="2" borderId="1" xfId="0" applyNumberFormat="1" applyFill="1" applyBorder="1" applyAlignment="1">
      <alignment horizontal="center"/>
    </xf>
    <xf numFmtId="10" fontId="4" fillId="2" borderId="1" xfId="0" applyNumberFormat="1" applyFont="1" applyFill="1" applyBorder="1"/>
    <xf numFmtId="0" fontId="5" fillId="0" borderId="1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10" fontId="10" fillId="5" borderId="1" xfId="3" applyNumberFormat="1" applyBorder="1"/>
    <xf numFmtId="0" fontId="4" fillId="6" borderId="1" xfId="0" applyFont="1" applyFill="1" applyBorder="1"/>
    <xf numFmtId="10" fontId="4" fillId="6" borderId="1" xfId="1" applyNumberFormat="1" applyFont="1" applyFill="1" applyBorder="1"/>
    <xf numFmtId="10" fontId="5" fillId="0" borderId="0" xfId="1" applyNumberFormat="1" applyFont="1"/>
    <xf numFmtId="0" fontId="15" fillId="0" borderId="0" xfId="0" applyFont="1"/>
    <xf numFmtId="0" fontId="7" fillId="0" borderId="0" xfId="0" applyFont="1"/>
    <xf numFmtId="0" fontId="6" fillId="7" borderId="0" xfId="0" applyFont="1" applyFill="1"/>
    <xf numFmtId="0" fontId="17" fillId="7" borderId="0" xfId="0" applyFont="1" applyFill="1"/>
    <xf numFmtId="0" fontId="5" fillId="8" borderId="3" xfId="0" applyNumberFormat="1" applyFont="1" applyFill="1" applyBorder="1"/>
    <xf numFmtId="166" fontId="5" fillId="8" borderId="3" xfId="0" applyNumberFormat="1" applyFont="1" applyFill="1" applyBorder="1"/>
    <xf numFmtId="166" fontId="17" fillId="7" borderId="0" xfId="0" applyNumberFormat="1" applyFont="1" applyFill="1"/>
    <xf numFmtId="166" fontId="6" fillId="7" borderId="0" xfId="0" applyNumberFormat="1" applyFont="1" applyFill="1"/>
    <xf numFmtId="0" fontId="6" fillId="9" borderId="0" xfId="0" applyFont="1" applyFill="1"/>
    <xf numFmtId="0" fontId="17" fillId="9" borderId="0" xfId="0" applyFont="1" applyFill="1"/>
    <xf numFmtId="0" fontId="5" fillId="6" borderId="3" xfId="0" applyNumberFormat="1" applyFont="1" applyFill="1" applyBorder="1"/>
    <xf numFmtId="166" fontId="5" fillId="6" borderId="3" xfId="0" applyNumberFormat="1" applyFont="1" applyFill="1" applyBorder="1"/>
    <xf numFmtId="166" fontId="17" fillId="9" borderId="0" xfId="0" applyNumberFormat="1" applyFont="1" applyFill="1"/>
    <xf numFmtId="166" fontId="6" fillId="9" borderId="0" xfId="0" applyNumberFormat="1" applyFont="1" applyFill="1"/>
    <xf numFmtId="0" fontId="18" fillId="0" borderId="1" xfId="0" quotePrefix="1" applyNumberFormat="1" applyFont="1" applyFill="1" applyBorder="1" applyAlignment="1">
      <alignment horizontal="center" wrapText="1"/>
    </xf>
    <xf numFmtId="0" fontId="18" fillId="0" borderId="1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0" xfId="0"/>
    <xf numFmtId="0" fontId="19" fillId="0" borderId="0" xfId="0" quotePrefix="1" applyNumberFormat="1" applyFont="1" applyFill="1" applyAlignment="1">
      <alignment horizontal="left"/>
    </xf>
    <xf numFmtId="167" fontId="19" fillId="0" borderId="0" xfId="0" applyNumberFormat="1" applyFont="1" applyFill="1" applyAlignment="1">
      <alignment horizontal="right"/>
    </xf>
    <xf numFmtId="0" fontId="5" fillId="0" borderId="0" xfId="0" applyFont="1" applyFill="1"/>
    <xf numFmtId="0" fontId="10" fillId="5" borderId="0" xfId="3"/>
    <xf numFmtId="0" fontId="20" fillId="0" borderId="0" xfId="0" applyFont="1"/>
    <xf numFmtId="0" fontId="5" fillId="0" borderId="0" xfId="0" applyFont="1" applyFill="1" applyBorder="1"/>
    <xf numFmtId="166" fontId="5" fillId="0" borderId="0" xfId="0" applyNumberFormat="1" applyFont="1" applyFill="1" applyBorder="1"/>
    <xf numFmtId="0" fontId="21" fillId="0" borderId="0" xfId="0" applyFont="1" applyFill="1" applyBorder="1"/>
    <xf numFmtId="166" fontId="21" fillId="0" borderId="4" xfId="0" applyNumberFormat="1" applyFont="1" applyFill="1" applyBorder="1"/>
    <xf numFmtId="166" fontId="4" fillId="0" borderId="4" xfId="0" applyNumberFormat="1" applyFont="1" applyFill="1" applyBorder="1"/>
    <xf numFmtId="0" fontId="20" fillId="10" borderId="4" xfId="0" applyFont="1" applyFill="1" applyBorder="1"/>
    <xf numFmtId="166" fontId="20" fillId="10" borderId="5" xfId="0" applyNumberFormat="1" applyFont="1" applyFill="1" applyBorder="1"/>
    <xf numFmtId="168" fontId="16" fillId="10" borderId="1" xfId="0" applyNumberFormat="1" applyFont="1" applyFill="1" applyBorder="1"/>
    <xf numFmtId="166" fontId="5" fillId="0" borderId="4" xfId="0" applyNumberFormat="1" applyFont="1" applyFill="1" applyBorder="1"/>
    <xf numFmtId="0" fontId="21" fillId="0" borderId="0" xfId="0" applyFont="1"/>
    <xf numFmtId="166" fontId="4" fillId="0" borderId="6" xfId="0" applyNumberFormat="1" applyFont="1" applyFill="1" applyBorder="1"/>
    <xf numFmtId="166" fontId="5" fillId="0" borderId="6" xfId="0" applyNumberFormat="1" applyFont="1" applyFill="1" applyBorder="1"/>
    <xf numFmtId="0" fontId="5" fillId="0" borderId="0" xfId="0" quotePrefix="1" applyFont="1"/>
    <xf numFmtId="0" fontId="21" fillId="0" borderId="0" xfId="0" quotePrefix="1" applyFont="1" applyFill="1"/>
    <xf numFmtId="0" fontId="22" fillId="0" borderId="0" xfId="0" applyFont="1"/>
    <xf numFmtId="0" fontId="20" fillId="11" borderId="4" xfId="0" applyFont="1" applyFill="1" applyBorder="1"/>
    <xf numFmtId="166" fontId="5" fillId="0" borderId="0" xfId="0" applyNumberFormat="1" applyFont="1"/>
    <xf numFmtId="166" fontId="20" fillId="11" borderId="5" xfId="0" applyNumberFormat="1" applyFont="1" applyFill="1" applyBorder="1"/>
    <xf numFmtId="0" fontId="5" fillId="12" borderId="0" xfId="0" applyFont="1" applyFill="1" applyAlignment="1">
      <alignment horizontal="left" indent="2"/>
    </xf>
    <xf numFmtId="0" fontId="5" fillId="13" borderId="0" xfId="0" applyFont="1" applyFill="1" applyAlignment="1">
      <alignment horizontal="left" indent="2"/>
    </xf>
    <xf numFmtId="0" fontId="5" fillId="12" borderId="0" xfId="0" applyFont="1" applyFill="1"/>
    <xf numFmtId="0" fontId="5" fillId="13" borderId="0" xfId="0" applyFont="1" applyFill="1"/>
    <xf numFmtId="9" fontId="5" fillId="13" borderId="0" xfId="1" applyFont="1" applyFill="1"/>
    <xf numFmtId="166" fontId="5" fillId="12" borderId="0" xfId="0" applyNumberFormat="1" applyFont="1" applyFill="1" applyBorder="1"/>
    <xf numFmtId="166" fontId="5" fillId="13" borderId="0" xfId="0" applyNumberFormat="1" applyFont="1" applyFill="1" applyBorder="1"/>
    <xf numFmtId="0" fontId="5" fillId="2" borderId="0" xfId="0" applyFont="1" applyFill="1" applyAlignment="1">
      <alignment horizontal="left" indent="2"/>
    </xf>
    <xf numFmtId="0" fontId="5" fillId="14" borderId="0" xfId="0" applyFont="1" applyFill="1" applyAlignment="1">
      <alignment horizontal="left" indent="2"/>
    </xf>
    <xf numFmtId="0" fontId="5" fillId="2" borderId="0" xfId="0" applyFont="1" applyFill="1"/>
    <xf numFmtId="0" fontId="5" fillId="14" borderId="0" xfId="0" applyFont="1" applyFill="1"/>
    <xf numFmtId="9" fontId="5" fillId="14" borderId="0" xfId="1" applyFont="1" applyFill="1"/>
    <xf numFmtId="166" fontId="5" fillId="2" borderId="0" xfId="0" applyNumberFormat="1" applyFont="1" applyFill="1" applyBorder="1"/>
    <xf numFmtId="166" fontId="5" fillId="14" borderId="0" xfId="0" applyNumberFormat="1" applyFont="1" applyFill="1" applyBorder="1"/>
    <xf numFmtId="169" fontId="5" fillId="0" borderId="0" xfId="2" applyNumberFormat="1" applyFont="1"/>
    <xf numFmtId="0" fontId="6" fillId="15" borderId="0" xfId="0" applyFont="1" applyFill="1"/>
    <xf numFmtId="0" fontId="17" fillId="15" borderId="0" xfId="0" applyFont="1" applyFill="1"/>
    <xf numFmtId="166" fontId="6" fillId="15" borderId="0" xfId="0" applyNumberFormat="1" applyFont="1" applyFill="1"/>
    <xf numFmtId="0" fontId="5" fillId="2" borderId="3" xfId="0" applyFont="1" applyFill="1" applyBorder="1"/>
    <xf numFmtId="166" fontId="5" fillId="2" borderId="3" xfId="0" applyNumberFormat="1" applyFont="1" applyFill="1" applyBorder="1"/>
    <xf numFmtId="0" fontId="23" fillId="0" borderId="0" xfId="0" applyFont="1"/>
    <xf numFmtId="0" fontId="6" fillId="3" borderId="2" xfId="0" applyFont="1" applyFill="1" applyBorder="1" applyAlignment="1">
      <alignment horizontal="center" vertical="center"/>
    </xf>
    <xf numFmtId="170" fontId="5" fillId="14" borderId="0" xfId="1" applyNumberFormat="1" applyFont="1" applyFill="1"/>
    <xf numFmtId="0" fontId="6" fillId="3" borderId="2" xfId="0" applyFont="1" applyFill="1" applyBorder="1" applyAlignment="1">
      <alignment horizontal="center" vertical="center"/>
    </xf>
    <xf numFmtId="9" fontId="5" fillId="14" borderId="0" xfId="1" applyNumberFormat="1" applyFont="1" applyFill="1"/>
    <xf numFmtId="0" fontId="5" fillId="0" borderId="0" xfId="0" quotePrefix="1" applyFont="1" applyAlignment="1">
      <alignment horizontal="left" indent="1"/>
    </xf>
    <xf numFmtId="169" fontId="0" fillId="0" borderId="0" xfId="2" applyNumberFormat="1" applyFont="1"/>
    <xf numFmtId="169" fontId="0" fillId="0" borderId="0" xfId="0" applyNumberFormat="1"/>
    <xf numFmtId="0" fontId="26" fillId="0" borderId="0" xfId="0" applyFont="1"/>
    <xf numFmtId="0" fontId="27" fillId="0" borderId="0" xfId="0" applyFont="1"/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28" fillId="0" borderId="0" xfId="0" applyFont="1"/>
    <xf numFmtId="10" fontId="5" fillId="0" borderId="0" xfId="1" applyNumberFormat="1" applyFont="1" applyFill="1" applyBorder="1"/>
    <xf numFmtId="166" fontId="4" fillId="0" borderId="0" xfId="0" applyNumberFormat="1" applyFont="1" applyFill="1" applyBorder="1"/>
    <xf numFmtId="0" fontId="30" fillId="0" borderId="0" xfId="0" applyFont="1"/>
    <xf numFmtId="166" fontId="21" fillId="0" borderId="0" xfId="0" applyNumberFormat="1" applyFont="1" applyFill="1" applyBorder="1"/>
    <xf numFmtId="0" fontId="31" fillId="0" borderId="0" xfId="0" applyFont="1"/>
    <xf numFmtId="0" fontId="5" fillId="0" borderId="0" xfId="0" applyFont="1" applyAlignment="1">
      <alignment wrapText="1"/>
    </xf>
    <xf numFmtId="0" fontId="20" fillId="0" borderId="0" xfId="0" applyFont="1" applyAlignment="1">
      <alignment vertical="center"/>
    </xf>
    <xf numFmtId="171" fontId="5" fillId="0" borderId="0" xfId="0" applyNumberFormat="1" applyFont="1" applyFill="1" applyBorder="1"/>
    <xf numFmtId="171" fontId="20" fillId="0" borderId="6" xfId="0" applyNumberFormat="1" applyFont="1" applyFill="1" applyBorder="1" applyAlignment="1">
      <alignment vertical="center"/>
    </xf>
    <xf numFmtId="171" fontId="20" fillId="0" borderId="7" xfId="0" applyNumberFormat="1" applyFont="1" applyFill="1" applyBorder="1" applyAlignment="1">
      <alignment vertical="center"/>
    </xf>
    <xf numFmtId="171" fontId="0" fillId="0" borderId="0" xfId="0" applyNumberFormat="1"/>
    <xf numFmtId="0" fontId="24" fillId="0" borderId="0" xfId="0" applyFont="1"/>
    <xf numFmtId="0" fontId="32" fillId="16" borderId="0" xfId="0" applyFont="1" applyFill="1" applyBorder="1" applyAlignment="1">
      <alignment vertical="center"/>
    </xf>
    <xf numFmtId="171" fontId="6" fillId="16" borderId="0" xfId="0" applyNumberFormat="1" applyFont="1" applyFill="1" applyBorder="1" applyAlignment="1">
      <alignment vertical="center"/>
    </xf>
    <xf numFmtId="0" fontId="5" fillId="0" borderId="4" xfId="0" applyFont="1" applyBorder="1"/>
    <xf numFmtId="172" fontId="5" fillId="0" borderId="4" xfId="0" applyNumberFormat="1" applyFont="1" applyFill="1" applyBorder="1"/>
    <xf numFmtId="171" fontId="4" fillId="0" borderId="0" xfId="0" applyNumberFormat="1" applyFont="1" applyFill="1" applyBorder="1"/>
    <xf numFmtId="172" fontId="4" fillId="0" borderId="0" xfId="0" applyNumberFormat="1" applyFont="1" applyFill="1" applyBorder="1"/>
    <xf numFmtId="0" fontId="6" fillId="3" borderId="2" xfId="0" applyFont="1" applyFill="1" applyBorder="1" applyAlignment="1">
      <alignment horizontal="center" vertical="center"/>
    </xf>
    <xf numFmtId="3" fontId="33" fillId="0" borderId="0" xfId="0" applyNumberFormat="1" applyFont="1" applyFill="1" applyBorder="1"/>
    <xf numFmtId="0" fontId="34" fillId="0" borderId="0" xfId="0" applyFont="1" applyFill="1" applyBorder="1"/>
    <xf numFmtId="10" fontId="4" fillId="0" borderId="0" xfId="1" applyNumberFormat="1" applyFont="1"/>
    <xf numFmtId="171" fontId="4" fillId="0" borderId="6" xfId="0" applyNumberFormat="1" applyFont="1" applyFill="1" applyBorder="1"/>
    <xf numFmtId="2" fontId="4" fillId="0" borderId="0" xfId="1" applyNumberFormat="1" applyFont="1"/>
    <xf numFmtId="0" fontId="5" fillId="0" borderId="0" xfId="0" quotePrefix="1" applyFont="1" applyFill="1" applyBorder="1"/>
    <xf numFmtId="0" fontId="35" fillId="0" borderId="0" xfId="0" applyFont="1"/>
    <xf numFmtId="40" fontId="4" fillId="0" borderId="0" xfId="1" applyNumberFormat="1" applyFont="1"/>
    <xf numFmtId="170" fontId="4" fillId="0" borderId="0" xfId="1" applyNumberFormat="1" applyFont="1"/>
    <xf numFmtId="0" fontId="15" fillId="0" borderId="0" xfId="0" quotePrefix="1" applyFont="1" applyAlignment="1">
      <alignment horizontal="right" indent="1"/>
    </xf>
    <xf numFmtId="171" fontId="21" fillId="0" borderId="0" xfId="0" applyNumberFormat="1" applyFont="1" applyFill="1" applyBorder="1"/>
    <xf numFmtId="0" fontId="5" fillId="0" borderId="0" xfId="0" applyFont="1" applyBorder="1"/>
    <xf numFmtId="0" fontId="5" fillId="17" borderId="1" xfId="0" applyFont="1" applyFill="1" applyBorder="1" applyAlignment="1">
      <alignment vertical="center" wrapText="1"/>
    </xf>
    <xf numFmtId="166" fontId="36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166" fontId="36" fillId="0" borderId="1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/>
    </xf>
    <xf numFmtId="0" fontId="0" fillId="0" borderId="4" xfId="0" applyBorder="1"/>
    <xf numFmtId="0" fontId="5" fillId="0" borderId="4" xfId="0" applyFont="1" applyBorder="1" applyAlignment="1">
      <alignment horizontal="center" vertical="center" wrapText="1"/>
    </xf>
    <xf numFmtId="173" fontId="5" fillId="0" borderId="0" xfId="0" applyNumberFormat="1" applyFont="1" applyFill="1" applyBorder="1"/>
    <xf numFmtId="166" fontId="36" fillId="0" borderId="4" xfId="0" applyNumberFormat="1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wrapText="1"/>
    </xf>
    <xf numFmtId="4" fontId="5" fillId="0" borderId="0" xfId="1" applyNumberFormat="1" applyFont="1"/>
    <xf numFmtId="170" fontId="5" fillId="0" borderId="0" xfId="1" applyNumberFormat="1" applyFont="1"/>
    <xf numFmtId="9" fontId="5" fillId="0" borderId="0" xfId="0" applyNumberFormat="1" applyFont="1" applyBorder="1" applyAlignment="1">
      <alignment horizontal="center"/>
    </xf>
    <xf numFmtId="0" fontId="5" fillId="0" borderId="4" xfId="0" applyFont="1" applyBorder="1" applyAlignment="1">
      <alignment vertical="top"/>
    </xf>
    <xf numFmtId="167" fontId="19" fillId="18" borderId="0" xfId="0" applyNumberFormat="1" applyFont="1" applyFill="1" applyAlignment="1">
      <alignment horizontal="right"/>
    </xf>
    <xf numFmtId="0" fontId="0" fillId="0" borderId="0" xfId="0" applyFont="1"/>
    <xf numFmtId="166" fontId="21" fillId="0" borderId="0" xfId="0" applyNumberFormat="1" applyFont="1"/>
    <xf numFmtId="0" fontId="16" fillId="0" borderId="0" xfId="0" applyFont="1" applyAlignment="1">
      <alignment horizontal="center"/>
    </xf>
    <xf numFmtId="174" fontId="0" fillId="0" borderId="0" xfId="0" applyNumberFormat="1"/>
    <xf numFmtId="10" fontId="4" fillId="0" borderId="0" xfId="0" applyNumberFormat="1" applyFont="1"/>
    <xf numFmtId="0" fontId="21" fillId="17" borderId="3" xfId="0" applyFont="1" applyFill="1" applyBorder="1"/>
    <xf numFmtId="166" fontId="21" fillId="17" borderId="3" xfId="0" applyNumberFormat="1" applyFont="1" applyFill="1" applyBorder="1"/>
    <xf numFmtId="166" fontId="21" fillId="0" borderId="0" xfId="0" applyNumberFormat="1" applyFont="1" applyAlignment="1">
      <alignment vertical="center"/>
    </xf>
    <xf numFmtId="0" fontId="4" fillId="18" borderId="1" xfId="0" applyFont="1" applyFill="1" applyBorder="1"/>
    <xf numFmtId="10" fontId="4" fillId="18" borderId="1" xfId="1" applyNumberFormat="1" applyFont="1" applyFill="1" applyBorder="1"/>
    <xf numFmtId="0" fontId="37" fillId="0" borderId="0" xfId="0" applyFont="1"/>
    <xf numFmtId="0" fontId="5" fillId="10" borderId="0" xfId="0" applyFont="1" applyFill="1"/>
    <xf numFmtId="166" fontId="5" fillId="10" borderId="0" xfId="0" applyNumberFormat="1" applyFont="1" applyFill="1" applyBorder="1"/>
    <xf numFmtId="171" fontId="39" fillId="0" borderId="0" xfId="0" applyNumberFormat="1" applyFont="1" applyFill="1" applyBorder="1"/>
    <xf numFmtId="170" fontId="40" fillId="0" borderId="0" xfId="1" applyNumberFormat="1" applyFont="1"/>
    <xf numFmtId="0" fontId="38" fillId="0" borderId="0" xfId="0" applyFont="1"/>
    <xf numFmtId="172" fontId="5" fillId="0" borderId="0" xfId="0" applyNumberFormat="1" applyFont="1" applyFill="1" applyBorder="1"/>
    <xf numFmtId="0" fontId="19" fillId="0" borderId="0" xfId="0" applyFont="1"/>
    <xf numFmtId="43" fontId="4" fillId="0" borderId="0" xfId="2" applyFont="1"/>
    <xf numFmtId="170" fontId="5" fillId="0" borderId="0" xfId="1" applyNumberFormat="1" applyFont="1" applyAlignment="1">
      <alignment horizontal="right"/>
    </xf>
    <xf numFmtId="170" fontId="0" fillId="0" borderId="0" xfId="1" applyNumberFormat="1" applyFont="1"/>
    <xf numFmtId="0" fontId="6" fillId="20" borderId="2" xfId="0" applyFont="1" applyFill="1" applyBorder="1" applyAlignment="1">
      <alignment horizontal="center" vertical="center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44" fillId="0" borderId="0" xfId="0" applyFont="1" applyAlignment="1">
      <alignment vertical="center"/>
    </xf>
    <xf numFmtId="171" fontId="44" fillId="0" borderId="6" xfId="0" applyNumberFormat="1" applyFont="1" applyFill="1" applyBorder="1" applyAlignment="1">
      <alignment vertical="center"/>
    </xf>
    <xf numFmtId="171" fontId="44" fillId="0" borderId="7" xfId="0" applyNumberFormat="1" applyFont="1" applyFill="1" applyBorder="1" applyAlignment="1">
      <alignment vertical="center"/>
    </xf>
    <xf numFmtId="0" fontId="45" fillId="0" borderId="0" xfId="0" applyFont="1"/>
    <xf numFmtId="171" fontId="44" fillId="0" borderId="5" xfId="0" applyNumberFormat="1" applyFont="1" applyFill="1" applyBorder="1" applyAlignment="1">
      <alignment vertical="center"/>
    </xf>
    <xf numFmtId="0" fontId="46" fillId="0" borderId="0" xfId="0" applyFont="1"/>
    <xf numFmtId="0" fontId="47" fillId="0" borderId="0" xfId="0" applyFont="1"/>
    <xf numFmtId="172" fontId="44" fillId="0" borderId="6" xfId="0" applyNumberFormat="1" applyFont="1" applyFill="1" applyBorder="1" applyAlignment="1">
      <alignment vertical="center"/>
    </xf>
    <xf numFmtId="172" fontId="44" fillId="0" borderId="0" xfId="0" applyNumberFormat="1" applyFont="1" applyFill="1" applyBorder="1" applyAlignment="1">
      <alignment vertical="center"/>
    </xf>
    <xf numFmtId="0" fontId="17" fillId="20" borderId="0" xfId="0" applyFont="1" applyFill="1" applyAlignment="1">
      <alignment vertical="center"/>
    </xf>
    <xf numFmtId="0" fontId="32" fillId="20" borderId="0" xfId="0" applyFont="1" applyFill="1" applyAlignment="1">
      <alignment vertical="center"/>
    </xf>
    <xf numFmtId="0" fontId="48" fillId="0" borderId="4" xfId="0" quotePrefix="1" applyFont="1" applyBorder="1" applyAlignment="1">
      <alignment wrapText="1"/>
    </xf>
    <xf numFmtId="0" fontId="48" fillId="0" borderId="4" xfId="0" quotePrefix="1" applyFont="1" applyFill="1" applyBorder="1" applyAlignment="1">
      <alignment wrapText="1"/>
    </xf>
    <xf numFmtId="0" fontId="48" fillId="0" borderId="4" xfId="0" applyFont="1" applyBorder="1" applyAlignment="1">
      <alignment horizontal="left" wrapText="1"/>
    </xf>
    <xf numFmtId="10" fontId="5" fillId="10" borderId="1" xfId="1" applyNumberFormat="1" applyFont="1" applyFill="1" applyBorder="1"/>
    <xf numFmtId="10" fontId="5" fillId="21" borderId="1" xfId="1" applyNumberFormat="1" applyFont="1" applyFill="1" applyBorder="1"/>
    <xf numFmtId="10" fontId="5" fillId="11" borderId="1" xfId="1" applyNumberFormat="1" applyFont="1" applyFill="1" applyBorder="1"/>
    <xf numFmtId="166" fontId="0" fillId="0" borderId="0" xfId="0" applyNumberFormat="1"/>
    <xf numFmtId="0" fontId="4" fillId="10" borderId="1" xfId="0" applyFont="1" applyFill="1" applyBorder="1"/>
    <xf numFmtId="10" fontId="4" fillId="10" borderId="1" xfId="1" applyNumberFormat="1" applyFont="1" applyFill="1" applyBorder="1"/>
    <xf numFmtId="176" fontId="0" fillId="0" borderId="0" xfId="2" applyNumberFormat="1" applyFont="1"/>
    <xf numFmtId="0" fontId="6" fillId="3" borderId="2" xfId="0" applyFont="1" applyFill="1" applyBorder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0" fontId="5" fillId="0" borderId="0" xfId="1" applyNumberFormat="1" applyFont="1" applyAlignment="1">
      <alignment horizontal="center" vertical="center"/>
    </xf>
  </cellXfs>
  <cellStyles count="5">
    <cellStyle name="Bad" xfId="3" builtinId="27"/>
    <cellStyle name="Comma" xfId="2" builtinId="3"/>
    <cellStyle name="Normal" xfId="0" builtinId="0"/>
    <cellStyle name="Percent" xfId="1" builtinId="5"/>
    <cellStyle name="Table Amount" xfId="4"/>
  </cellStyles>
  <dxfs count="0"/>
  <tableStyles count="0" defaultTableStyle="TableStyleMedium2" defaultPivotStyle="PivotStyleMedium9"/>
  <colors>
    <mruColors>
      <color rgb="FF156570"/>
      <color rgb="FF5B8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587367</xdr:colOff>
      <xdr:row>0</xdr:row>
      <xdr:rowOff>39690</xdr:rowOff>
    </xdr:from>
    <xdr:to>
      <xdr:col>11</xdr:col>
      <xdr:colOff>839590</xdr:colOff>
      <xdr:row>2</xdr:row>
      <xdr:rowOff>146370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217" y="39690"/>
          <a:ext cx="1947672" cy="640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587367</xdr:colOff>
      <xdr:row>0</xdr:row>
      <xdr:rowOff>39690</xdr:rowOff>
    </xdr:from>
    <xdr:to>
      <xdr:col>11</xdr:col>
      <xdr:colOff>839589</xdr:colOff>
      <xdr:row>2</xdr:row>
      <xdr:rowOff>146370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217" y="39690"/>
          <a:ext cx="1947672" cy="640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587367</xdr:colOff>
      <xdr:row>0</xdr:row>
      <xdr:rowOff>39690</xdr:rowOff>
    </xdr:from>
    <xdr:to>
      <xdr:col>11</xdr:col>
      <xdr:colOff>839589</xdr:colOff>
      <xdr:row>2</xdr:row>
      <xdr:rowOff>146370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217" y="39690"/>
          <a:ext cx="1947672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587386</xdr:colOff>
      <xdr:row>0</xdr:row>
      <xdr:rowOff>23814</xdr:rowOff>
    </xdr:from>
    <xdr:to>
      <xdr:col>11</xdr:col>
      <xdr:colOff>839608</xdr:colOff>
      <xdr:row>2</xdr:row>
      <xdr:rowOff>168594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8324" y="23814"/>
          <a:ext cx="1950847" cy="6448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587367</xdr:colOff>
      <xdr:row>0</xdr:row>
      <xdr:rowOff>39690</xdr:rowOff>
    </xdr:from>
    <xdr:to>
      <xdr:col>11</xdr:col>
      <xdr:colOff>839589</xdr:colOff>
      <xdr:row>2</xdr:row>
      <xdr:rowOff>117795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805" y="39690"/>
          <a:ext cx="1950847" cy="578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0</xdr:rowOff>
    </xdr:from>
    <xdr:to>
      <xdr:col>11</xdr:col>
      <xdr:colOff>466726</xdr:colOff>
      <xdr:row>34</xdr:row>
      <xdr:rowOff>7002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47750"/>
          <a:ext cx="8991600" cy="5531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400050</xdr:colOff>
      <xdr:row>65</xdr:row>
      <xdr:rowOff>181247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24750"/>
          <a:ext cx="8315325" cy="5134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11</xdr:col>
      <xdr:colOff>435027</xdr:colOff>
      <xdr:row>100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620750"/>
          <a:ext cx="8959902" cy="552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13</xdr:col>
      <xdr:colOff>400050</xdr:colOff>
      <xdr:row>137</xdr:row>
      <xdr:rowOff>167428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097750"/>
          <a:ext cx="10144125" cy="62634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139</xdr:row>
      <xdr:rowOff>0</xdr:rowOff>
    </xdr:from>
    <xdr:to>
      <xdr:col>13</xdr:col>
      <xdr:colOff>123826</xdr:colOff>
      <xdr:row>170</xdr:row>
      <xdr:rowOff>170331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6574750"/>
          <a:ext cx="9867900" cy="6075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Waste%20Strategy%202017-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ROADS%20Capital%20Works%20Program%202017_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DRAINAGE%20Capital%20Works%20Program%202017_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SS7%20Building%20&amp;%20Infrastructure%20Renewals%20Ratio%20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Staff%20Establishment%202017-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Historical%20Results%202007-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La%20Perouse%20Headland\La%20Perouse%20Headland%20Financial%20Analysis%20-%202017%20Index%209.5.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BUDGETS\2017-2018\Annual%20Budget\Domestic%20Waste\Waste%20Strategy%202017-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s94A%20Development%20Contributions%20Plan%20(2017)%20-%20LTFP%20Financial%20Strategy08.08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Plant%20Replacement%20Program%202017-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Reserve%202017-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ICT%2010%20Year%20Financial%20Strategy%202017-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2017-18%20Randwick%20Environmental%20Park%20Strateg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OPEN%20SPACE%20Capital%20Works%20Program%202017_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overnance%20&amp;%20Financial%20Services\Corp%20Fin%20Planning\CFP\LONG%20TERM%20FINANCIAL%20PLAN\2017-18\Supporting%20Docs\BUILDINGS%20Capital%20Works%20Program%202017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Strategy"/>
      <sheetName val="Budget Summary"/>
      <sheetName val="Budget Data"/>
      <sheetName val="Assumptions"/>
      <sheetName val="Waste Disposal Costs 2017-18"/>
      <sheetName val="Disposal Prices"/>
      <sheetName val="Other Disposal Costs"/>
      <sheetName val="AWT"/>
      <sheetName val="Tonnages"/>
    </sheetNames>
    <sheetDataSet>
      <sheetData sheetId="0">
        <row r="51">
          <cell r="E51">
            <v>2141487.4287084132</v>
          </cell>
          <cell r="F51">
            <v>3306530.5348476595</v>
          </cell>
          <cell r="G51">
            <v>3692610.2447819952</v>
          </cell>
          <cell r="H51">
            <v>3796250.1940024989</v>
          </cell>
          <cell r="I51">
            <v>3080225.3121350901</v>
          </cell>
          <cell r="J51">
            <v>1352899.3789941519</v>
          </cell>
          <cell r="K51">
            <v>1591406.6328446032</v>
          </cell>
          <cell r="L51">
            <v>1542352.5263270796</v>
          </cell>
          <cell r="M51">
            <v>1758397.1981101395</v>
          </cell>
          <cell r="N51">
            <v>2485802.2497394071</v>
          </cell>
        </row>
        <row r="53">
          <cell r="D53">
            <v>2.0250000000000001E-2</v>
          </cell>
          <cell r="E53">
            <v>2.5000000000000001E-2</v>
          </cell>
          <cell r="F53">
            <v>2.5000000000000001E-2</v>
          </cell>
          <cell r="G53">
            <v>2.5000000000000001E-2</v>
          </cell>
          <cell r="H53">
            <v>2.5000000000000001E-2</v>
          </cell>
          <cell r="I53">
            <v>2.5000000000000001E-2</v>
          </cell>
          <cell r="J53">
            <v>0.03</v>
          </cell>
          <cell r="K53">
            <v>0.03</v>
          </cell>
          <cell r="L53">
            <v>0.03</v>
          </cell>
          <cell r="M53">
            <v>2.5000000000000001E-2</v>
          </cell>
          <cell r="N53">
            <v>2.5000000000000001E-2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s Construction 2017-18"/>
    </sheetNames>
    <sheetDataSet>
      <sheetData sheetId="0">
        <row r="126">
          <cell r="G126">
            <v>100000</v>
          </cell>
          <cell r="H126">
            <v>110000</v>
          </cell>
          <cell r="I126">
            <v>100000</v>
          </cell>
          <cell r="L126">
            <v>40000</v>
          </cell>
        </row>
        <row r="127">
          <cell r="G127">
            <v>1781495</v>
          </cell>
          <cell r="H127">
            <v>475000</v>
          </cell>
          <cell r="K127">
            <v>1500000</v>
          </cell>
          <cell r="L127">
            <v>6330000</v>
          </cell>
        </row>
        <row r="128">
          <cell r="L128">
            <v>1700000</v>
          </cell>
        </row>
        <row r="129">
          <cell r="H129">
            <v>225000</v>
          </cell>
          <cell r="L129">
            <v>50000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ge Construction 2017-18"/>
    </sheetNames>
    <sheetDataSet>
      <sheetData sheetId="0">
        <row r="62">
          <cell r="G62">
            <v>913000</v>
          </cell>
          <cell r="J62">
            <v>312000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7 Ratios"/>
      <sheetName val="SS7"/>
      <sheetName val="Buildings"/>
      <sheetName val="Roads"/>
      <sheetName val="Footpaths"/>
      <sheetName val="Drainage"/>
      <sheetName val="Pool"/>
      <sheetName val="OS"/>
      <sheetName val="Maintenance"/>
    </sheetNames>
    <sheetDataSet>
      <sheetData sheetId="0"/>
      <sheetData sheetId="1">
        <row r="6">
          <cell r="C6">
            <v>479646.75</v>
          </cell>
          <cell r="E6">
            <v>2572822.4499999997</v>
          </cell>
        </row>
        <row r="8">
          <cell r="C8">
            <v>2657732.5799999996</v>
          </cell>
          <cell r="E8">
            <v>1626447.7300000028</v>
          </cell>
        </row>
        <row r="9">
          <cell r="C9">
            <v>536441.47</v>
          </cell>
          <cell r="E9">
            <v>596006.89000000106</v>
          </cell>
        </row>
        <row r="10">
          <cell r="C10">
            <v>1076028.8999999997</v>
          </cell>
          <cell r="E10">
            <v>862763.28999999911</v>
          </cell>
        </row>
        <row r="14">
          <cell r="C14">
            <v>872037.1</v>
          </cell>
          <cell r="E14">
            <v>1049361.9099999999</v>
          </cell>
        </row>
        <row r="16">
          <cell r="C16">
            <v>0</v>
          </cell>
          <cell r="E16">
            <v>71529.659999999989</v>
          </cell>
        </row>
        <row r="17">
          <cell r="C17">
            <v>757245.75</v>
          </cell>
          <cell r="E17">
            <v>514218.86</v>
          </cell>
        </row>
        <row r="20">
          <cell r="F20">
            <v>11288711.261349998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FP"/>
      <sheetName val="Comparison"/>
      <sheetName val="Master"/>
      <sheetName val="Excluded"/>
      <sheetName val="Emp Conditions"/>
      <sheetName val="TRP"/>
      <sheetName val="Allowances"/>
      <sheetName val="Penalties"/>
      <sheetName val="Super"/>
      <sheetName val="Ret Sch"/>
      <sheetName val="Overtime 16"/>
      <sheetName val="Overtime 15"/>
      <sheetName val="Parameters"/>
      <sheetName val="BLevel"/>
    </sheetNames>
    <sheetDataSet>
      <sheetData sheetId="0">
        <row r="4">
          <cell r="C4">
            <v>34789573.8636145</v>
          </cell>
        </row>
        <row r="5">
          <cell r="C5">
            <v>5466862.7779563442</v>
          </cell>
        </row>
        <row r="6">
          <cell r="C6">
            <v>4548126.7417604569</v>
          </cell>
        </row>
        <row r="10">
          <cell r="C10">
            <v>42613509.172485836</v>
          </cell>
        </row>
        <row r="12">
          <cell r="C12">
            <v>4457876.7799999993</v>
          </cell>
        </row>
        <row r="14">
          <cell r="C14">
            <v>765245</v>
          </cell>
        </row>
        <row r="18">
          <cell r="C18">
            <v>1334626.6027133658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ashflow Statement"/>
      <sheetName val="Balance Sheet"/>
      <sheetName val="Performance Statement"/>
    </sheetNames>
    <sheetDataSet>
      <sheetData sheetId="0">
        <row r="23">
          <cell r="F23">
            <v>46936000</v>
          </cell>
          <cell r="G23">
            <v>49777000</v>
          </cell>
          <cell r="H23">
            <v>50523000</v>
          </cell>
          <cell r="I23">
            <v>54626000</v>
          </cell>
          <cell r="J23">
            <v>57677000</v>
          </cell>
          <cell r="K23">
            <v>61715000</v>
          </cell>
          <cell r="L23">
            <v>60427000</v>
          </cell>
        </row>
      </sheetData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TION 2 - 2017 - maint only"/>
      <sheetName val="2017 Capex Review - Repair only"/>
      <sheetName val="OPTION 2 - 2017"/>
      <sheetName val="2017 Capex Review-ALL"/>
      <sheetName val="OPTION 2 - 2017 index only"/>
      <sheetName val="2017 Capex INDEX ONLY"/>
      <sheetName val="CPI-2017"/>
      <sheetName val="OPTION 2-2016"/>
      <sheetName val="CPI-2016"/>
      <sheetName val="OPTION 2-2015"/>
      <sheetName val="OPTION 2-2013"/>
      <sheetName val="Insurance"/>
      <sheetName val="Maintenance"/>
      <sheetName val="Landscaping Maint"/>
      <sheetName val="Sheet2"/>
    </sheetNames>
    <sheetDataSet>
      <sheetData sheetId="0"/>
      <sheetData sheetId="1">
        <row r="37">
          <cell r="E37">
            <v>219969.05371241222</v>
          </cell>
          <cell r="F37">
            <v>200150.46684714512</v>
          </cell>
          <cell r="G37">
            <v>209097.16452564392</v>
          </cell>
          <cell r="H37">
            <v>218586.5336200801</v>
          </cell>
          <cell r="I37">
            <v>228509.82678364124</v>
          </cell>
          <cell r="J37">
            <v>238655.63886901434</v>
          </cell>
          <cell r="K37">
            <v>249006.8793482153</v>
          </cell>
          <cell r="L37">
            <v>260163.4993787728</v>
          </cell>
          <cell r="M37">
            <v>271836.20145338407</v>
          </cell>
          <cell r="N37">
            <v>284049.11971595278</v>
          </cell>
        </row>
        <row r="65">
          <cell r="E65">
            <v>344401.69168657548</v>
          </cell>
          <cell r="F65">
            <v>322431.80197019916</v>
          </cell>
          <cell r="G65">
            <v>331250.92638411309</v>
          </cell>
          <cell r="H65">
            <v>340647.31218068046</v>
          </cell>
          <cell r="I65">
            <v>349981.56372936466</v>
          </cell>
          <cell r="J65">
            <v>359713.05104975001</v>
          </cell>
          <cell r="K65">
            <v>369268.87883385504</v>
          </cell>
          <cell r="L65">
            <v>379495.24777126341</v>
          </cell>
          <cell r="M65">
            <v>390022.03504560218</v>
          </cell>
          <cell r="N65">
            <v>400858.76527540223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Strategy"/>
      <sheetName val="Budget Summary"/>
      <sheetName val="Budget Data"/>
      <sheetName val="Assumptions"/>
      <sheetName val="Waste Disposal Costs 2017-18"/>
      <sheetName val="Disposal Prices"/>
      <sheetName val="Other Disposal Costs"/>
      <sheetName val="AWT"/>
      <sheetName val="Tonnages"/>
    </sheetNames>
    <sheetDataSet>
      <sheetData sheetId="0">
        <row r="36">
          <cell r="E36">
            <v>-33152532.21905623</v>
          </cell>
          <cell r="F36">
            <v>-34039549.703017011</v>
          </cell>
          <cell r="G36">
            <v>-34950197.728538916</v>
          </cell>
          <cell r="H36">
            <v>-35885103.436772525</v>
          </cell>
          <cell r="I36">
            <v>-36844910.556837484</v>
          </cell>
          <cell r="J36">
            <v>-38014817.793712623</v>
          </cell>
          <cell r="K36">
            <v>-39221759.045299128</v>
          </cell>
          <cell r="L36">
            <v>-40466903.435966477</v>
          </cell>
          <cell r="M36">
            <v>-41548779.931656718</v>
          </cell>
          <cell r="N36">
            <v>-42659458.437483996</v>
          </cell>
        </row>
        <row r="37">
          <cell r="E37">
            <v>400000</v>
          </cell>
          <cell r="F37">
            <v>400000</v>
          </cell>
          <cell r="G37">
            <v>400000</v>
          </cell>
          <cell r="H37">
            <v>400000</v>
          </cell>
          <cell r="I37">
            <v>400000</v>
          </cell>
          <cell r="J37">
            <v>400000</v>
          </cell>
          <cell r="K37">
            <v>400000</v>
          </cell>
          <cell r="L37">
            <v>400000</v>
          </cell>
          <cell r="M37">
            <v>400000</v>
          </cell>
          <cell r="N37">
            <v>400000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94A Development Contributions "/>
    </sheetNames>
    <sheetDataSet>
      <sheetData sheetId="0">
        <row r="87">
          <cell r="F87">
            <v>2850000</v>
          </cell>
          <cell r="G87">
            <v>2850000</v>
          </cell>
          <cell r="H87">
            <v>2800000</v>
          </cell>
          <cell r="I87">
            <v>2800000</v>
          </cell>
          <cell r="J87">
            <v>2800000</v>
          </cell>
          <cell r="K87">
            <v>2800000</v>
          </cell>
          <cell r="L87">
            <v>2800000</v>
          </cell>
        </row>
        <row r="92">
          <cell r="F92">
            <v>582920.80825974979</v>
          </cell>
          <cell r="G92">
            <v>185094.98779994482</v>
          </cell>
          <cell r="H92">
            <v>37520.094048632775</v>
          </cell>
          <cell r="I92">
            <v>15164.582116223406</v>
          </cell>
          <cell r="J92">
            <v>42994.760822630022</v>
          </cell>
          <cell r="K92">
            <v>820974.69029971585</v>
          </cell>
          <cell r="L92">
            <v>1201098.0752840261</v>
          </cell>
          <cell r="M92">
            <v>2181365.1027292451</v>
          </cell>
          <cell r="N92">
            <v>2211735.0472232187</v>
          </cell>
          <cell r="O92">
            <v>2992164.5742570837</v>
          </cell>
        </row>
        <row r="113">
          <cell r="E113">
            <v>0</v>
          </cell>
          <cell r="F113">
            <v>0</v>
          </cell>
          <cell r="G113">
            <v>50000</v>
          </cell>
          <cell r="H113">
            <v>150000</v>
          </cell>
          <cell r="I113">
            <v>175000</v>
          </cell>
          <cell r="J113">
            <v>125000</v>
          </cell>
          <cell r="K113">
            <v>175000</v>
          </cell>
          <cell r="L113">
            <v>225000</v>
          </cell>
          <cell r="M113">
            <v>175000</v>
          </cell>
          <cell r="N113">
            <v>125000</v>
          </cell>
          <cell r="O113">
            <v>175000</v>
          </cell>
        </row>
        <row r="114">
          <cell r="E114">
            <v>92891.917012499995</v>
          </cell>
          <cell r="F114">
            <v>94749.755352749999</v>
          </cell>
          <cell r="G114">
            <v>96644.750459805</v>
          </cell>
          <cell r="H114">
            <v>700114.29700131202</v>
          </cell>
          <cell r="I114">
            <v>503708.40026365913</v>
          </cell>
          <cell r="J114">
            <v>507431.53183312446</v>
          </cell>
          <cell r="K114">
            <v>611288.32382593362</v>
          </cell>
          <cell r="L114">
            <v>713251.57465128461</v>
          </cell>
          <cell r="M114">
            <v>517317.3061812658</v>
          </cell>
          <cell r="N114">
            <v>521528.99747317325</v>
          </cell>
          <cell r="O114">
            <v>625891.88848246017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300000</v>
          </cell>
          <cell r="I115">
            <v>200000</v>
          </cell>
          <cell r="J115">
            <v>200000</v>
          </cell>
          <cell r="K115">
            <v>200000</v>
          </cell>
          <cell r="L115">
            <v>400000</v>
          </cell>
          <cell r="M115">
            <v>200000</v>
          </cell>
          <cell r="N115">
            <v>200000</v>
          </cell>
          <cell r="O115">
            <v>200000</v>
          </cell>
        </row>
        <row r="117">
          <cell r="F117">
            <v>400000</v>
          </cell>
          <cell r="G117">
            <v>0</v>
          </cell>
          <cell r="H117">
            <v>300000</v>
          </cell>
          <cell r="I117">
            <v>300000</v>
          </cell>
          <cell r="J117">
            <v>300000</v>
          </cell>
          <cell r="K117">
            <v>300000</v>
          </cell>
          <cell r="L117">
            <v>300000</v>
          </cell>
          <cell r="M117">
            <v>300000</v>
          </cell>
          <cell r="N117">
            <v>300000</v>
          </cell>
          <cell r="O117">
            <v>300000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200000</v>
          </cell>
          <cell r="J118">
            <v>100000</v>
          </cell>
          <cell r="K118">
            <v>300000</v>
          </cell>
          <cell r="L118">
            <v>300000</v>
          </cell>
          <cell r="M118">
            <v>200000</v>
          </cell>
          <cell r="N118">
            <v>100000</v>
          </cell>
          <cell r="O118">
            <v>300000</v>
          </cell>
        </row>
        <row r="119">
          <cell r="E119">
            <v>0</v>
          </cell>
          <cell r="F119">
            <v>50000</v>
          </cell>
          <cell r="G119">
            <v>0</v>
          </cell>
          <cell r="H119">
            <v>50000</v>
          </cell>
          <cell r="I119">
            <v>0</v>
          </cell>
          <cell r="J119">
            <v>100000</v>
          </cell>
          <cell r="K119">
            <v>0</v>
          </cell>
          <cell r="L119">
            <v>50000</v>
          </cell>
          <cell r="M119">
            <v>0</v>
          </cell>
          <cell r="N119">
            <v>100000</v>
          </cell>
          <cell r="O119">
            <v>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Year Plan"/>
      <sheetName val="Plant"/>
      <sheetName val="Pass &amp; LCV"/>
      <sheetName val="Budget Entry"/>
      <sheetName val="Change Over LCV"/>
      <sheetName val="Change Over PASS"/>
      <sheetName val="Change Over EXEC"/>
      <sheetName val="Plant Hire"/>
      <sheetName val="Reserves"/>
      <sheetName val="Full List"/>
      <sheetName val="Parameters"/>
    </sheetNames>
    <sheetDataSet>
      <sheetData sheetId="0">
        <row r="101">
          <cell r="B101">
            <v>405000</v>
          </cell>
          <cell r="C101">
            <v>2644807</v>
          </cell>
          <cell r="D101">
            <v>213415</v>
          </cell>
          <cell r="E101">
            <v>1042206</v>
          </cell>
          <cell r="F101">
            <v>427409</v>
          </cell>
          <cell r="G101">
            <v>154740</v>
          </cell>
          <cell r="H101">
            <v>2791019</v>
          </cell>
          <cell r="I101">
            <v>399593</v>
          </cell>
          <cell r="J101">
            <v>996885</v>
          </cell>
          <cell r="K101">
            <v>645390</v>
          </cell>
          <cell r="L101">
            <v>0</v>
          </cell>
        </row>
        <row r="139">
          <cell r="B139">
            <v>3402025.14</v>
          </cell>
          <cell r="C139">
            <v>7355755</v>
          </cell>
          <cell r="D139">
            <v>2933255</v>
          </cell>
          <cell r="E139">
            <v>6723831</v>
          </cell>
          <cell r="F139">
            <v>5001865</v>
          </cell>
          <cell r="G139">
            <v>4366770</v>
          </cell>
          <cell r="H139">
            <v>6682071</v>
          </cell>
          <cell r="I139">
            <v>3762930</v>
          </cell>
          <cell r="J139">
            <v>5861374</v>
          </cell>
          <cell r="K139">
            <v>7999981</v>
          </cell>
          <cell r="L139">
            <v>4056303</v>
          </cell>
        </row>
        <row r="140">
          <cell r="B140">
            <v>-1320570.6518488859</v>
          </cell>
          <cell r="C140">
            <v>-2026768.7432036037</v>
          </cell>
          <cell r="D140">
            <v>-958043.09432184824</v>
          </cell>
          <cell r="E140">
            <v>-2112212.0163588161</v>
          </cell>
          <cell r="F140">
            <v>-1492072.282760869</v>
          </cell>
          <cell r="G140">
            <v>-1384218.7809164156</v>
          </cell>
          <cell r="H140">
            <v>-2052354.7153227653</v>
          </cell>
          <cell r="I140">
            <v>-1403107.3692480517</v>
          </cell>
          <cell r="J140">
            <v>-1658105.9040875053</v>
          </cell>
          <cell r="K140">
            <v>-2488839.4222118952</v>
          </cell>
          <cell r="L140">
            <v>-1352917.1660758243</v>
          </cell>
        </row>
        <row r="156">
          <cell r="C156">
            <v>1639122.0150524895</v>
          </cell>
          <cell r="D156">
            <v>2034642.1093743378</v>
          </cell>
          <cell r="E156">
            <v>1156787.9257331537</v>
          </cell>
          <cell r="F156">
            <v>888922.40849402267</v>
          </cell>
          <cell r="G156">
            <v>930163.1894104383</v>
          </cell>
          <cell r="H156">
            <v>1633262.104733204</v>
          </cell>
          <cell r="I156">
            <v>2693113.8739812556</v>
          </cell>
          <cell r="J156">
            <v>2487353.7780687609</v>
          </cell>
          <cell r="K156">
            <v>692524.20028065564</v>
          </cell>
          <cell r="L156">
            <v>1189138.3663564799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-18 Reserve"/>
      <sheetName val="Reserves Budget 2017-18-old"/>
    </sheetNames>
    <sheetDataSet>
      <sheetData sheetId="0">
        <row r="12">
          <cell r="E12">
            <v>3617792</v>
          </cell>
        </row>
        <row r="13">
          <cell r="E13">
            <v>219626</v>
          </cell>
        </row>
        <row r="14">
          <cell r="E14">
            <v>3344498</v>
          </cell>
        </row>
        <row r="19">
          <cell r="E19">
            <v>504532</v>
          </cell>
        </row>
        <row r="20">
          <cell r="E20">
            <v>0</v>
          </cell>
        </row>
        <row r="21">
          <cell r="E21">
            <v>7881527</v>
          </cell>
        </row>
        <row r="22">
          <cell r="E22">
            <v>464082</v>
          </cell>
        </row>
        <row r="23">
          <cell r="E23">
            <v>2558637</v>
          </cell>
        </row>
        <row r="24">
          <cell r="E24">
            <v>171734</v>
          </cell>
        </row>
        <row r="25">
          <cell r="E25">
            <v>2552263</v>
          </cell>
        </row>
        <row r="26">
          <cell r="E26">
            <v>1144060</v>
          </cell>
        </row>
        <row r="27">
          <cell r="E27">
            <v>2995671</v>
          </cell>
        </row>
        <row r="28">
          <cell r="E28">
            <v>1589434</v>
          </cell>
        </row>
        <row r="29">
          <cell r="E29">
            <v>143565</v>
          </cell>
        </row>
        <row r="30">
          <cell r="E30">
            <v>533188</v>
          </cell>
        </row>
        <row r="31">
          <cell r="E31">
            <v>260000</v>
          </cell>
        </row>
        <row r="32">
          <cell r="E32">
            <v>5174737</v>
          </cell>
        </row>
        <row r="33">
          <cell r="E33">
            <v>15187</v>
          </cell>
        </row>
        <row r="35">
          <cell r="E35">
            <v>97886</v>
          </cell>
        </row>
        <row r="36">
          <cell r="E36">
            <v>57964</v>
          </cell>
        </row>
        <row r="37">
          <cell r="E37">
            <v>5475282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-17 Summary "/>
      <sheetName val="ICT Strategy"/>
      <sheetName val="1140 No Project"/>
      <sheetName val="1150 No Project"/>
      <sheetName val="1155 No Project"/>
      <sheetName val="1130 No Project"/>
    </sheetNames>
    <sheetDataSet>
      <sheetData sheetId="0"/>
      <sheetData sheetId="1">
        <row r="113">
          <cell r="K113">
            <v>1214082</v>
          </cell>
          <cell r="L113">
            <v>1464082</v>
          </cell>
          <cell r="M113">
            <v>1714082</v>
          </cell>
          <cell r="N113">
            <v>1964081.9999999991</v>
          </cell>
          <cell r="O113">
            <v>2214082</v>
          </cell>
          <cell r="P113">
            <v>2464081.9999999991</v>
          </cell>
          <cell r="Q113">
            <v>2464082.0000000009</v>
          </cell>
        </row>
        <row r="121">
          <cell r="H121">
            <v>370000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3"/>
      <sheetName val="Projections"/>
      <sheetName val="Email from Tina re OH"/>
      <sheetName val="Email from Tina 21.6.10 Re $"/>
      <sheetName val="Emails"/>
      <sheetName val="Chart2"/>
      <sheetName val="Sheet1"/>
    </sheetNames>
    <sheetDataSet>
      <sheetData sheetId="0" refreshError="1"/>
      <sheetData sheetId="1" refreshError="1"/>
      <sheetData sheetId="2">
        <row r="31">
          <cell r="N31">
            <v>1327887.5822923109</v>
          </cell>
          <cell r="O31">
            <v>1198342.0645195646</v>
          </cell>
          <cell r="P31">
            <v>1064544.8171868417</v>
          </cell>
          <cell r="Q31">
            <v>926393.13585886883</v>
          </cell>
          <cell r="R31">
            <v>783782.07401806128</v>
          </cell>
          <cell r="S31">
            <v>636604.39622277021</v>
          </cell>
          <cell r="T31">
            <v>484750.53030741296</v>
          </cell>
          <cell r="U31">
            <v>328108.51860510127</v>
          </cell>
          <cell r="V31">
            <v>166563.96817298644</v>
          </cell>
          <cell r="W31">
            <v>1.4586839824914932E-7</v>
          </cell>
        </row>
      </sheetData>
      <sheetData sheetId="3"/>
      <sheetData sheetId="4"/>
      <sheetData sheetId="5"/>
      <sheetData sheetId="6" refreshError="1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s Program 2017-18"/>
    </sheetNames>
    <sheetDataSet>
      <sheetData sheetId="0">
        <row r="78">
          <cell r="K78">
            <v>100000</v>
          </cell>
        </row>
        <row r="80">
          <cell r="I80">
            <v>400000</v>
          </cell>
        </row>
        <row r="82">
          <cell r="G82">
            <v>1000000</v>
          </cell>
          <cell r="H82">
            <v>1000000</v>
          </cell>
          <cell r="K82">
            <v>2902000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ings Program 2017-18 "/>
    </sheetNames>
    <sheetDataSet>
      <sheetData sheetId="0">
        <row r="27">
          <cell r="K27">
            <v>5750000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6"/>
  <sheetViews>
    <sheetView zoomScale="115" zoomScaleNormal="115" workbookViewId="0">
      <pane xSplit="1" ySplit="5" topLeftCell="B76" activePane="bottomRight" state="frozen"/>
      <selection pane="topRight" activeCell="B1" sqref="B1"/>
      <selection pane="bottomLeft" activeCell="A6" sqref="A6"/>
      <selection pane="bottomRight" activeCell="F54" sqref="F54"/>
    </sheetView>
  </sheetViews>
  <sheetFormatPr defaultColWidth="9.140625" defaultRowHeight="12.75" x14ac:dyDescent="0.2"/>
  <cols>
    <col min="1" max="1" width="31.28515625" style="6" customWidth="1"/>
    <col min="2" max="12" width="12.7109375" style="6" customWidth="1"/>
    <col min="13" max="16384" width="9.140625" style="6"/>
  </cols>
  <sheetData>
    <row r="1" spans="1:13" ht="21" customHeight="1" x14ac:dyDescent="0.25">
      <c r="A1" s="2" t="str">
        <f>MODEL_NAME</f>
        <v>Long Term Financial Plan 2018-28</v>
      </c>
    </row>
    <row r="2" spans="1:13" ht="18" customHeight="1" x14ac:dyDescent="0.25">
      <c r="A2" s="1" t="s">
        <v>4</v>
      </c>
    </row>
    <row r="4" spans="1:13" x14ac:dyDescent="0.2">
      <c r="A4" s="195" t="s">
        <v>5</v>
      </c>
      <c r="B4" s="7" t="s">
        <v>7</v>
      </c>
      <c r="C4" s="8" t="s">
        <v>8</v>
      </c>
      <c r="D4" s="8" t="s">
        <v>9</v>
      </c>
      <c r="E4" s="8" t="s">
        <v>10</v>
      </c>
      <c r="F4" s="8" t="s">
        <v>11</v>
      </c>
      <c r="G4" s="8" t="s">
        <v>12</v>
      </c>
      <c r="H4" s="8" t="s">
        <v>13</v>
      </c>
      <c r="I4" s="8" t="s">
        <v>14</v>
      </c>
      <c r="J4" s="8" t="s">
        <v>15</v>
      </c>
      <c r="K4" s="8" t="s">
        <v>16</v>
      </c>
      <c r="L4" s="8" t="s">
        <v>17</v>
      </c>
    </row>
    <row r="5" spans="1:13" x14ac:dyDescent="0.2">
      <c r="A5" s="195"/>
      <c r="B5" s="7">
        <f>BASE_YR</f>
        <v>2018</v>
      </c>
      <c r="C5" s="8">
        <f>B5+1</f>
        <v>2019</v>
      </c>
      <c r="D5" s="8">
        <f t="shared" ref="D5:L5" si="0">C5+1</f>
        <v>2020</v>
      </c>
      <c r="E5" s="8">
        <f t="shared" si="0"/>
        <v>2021</v>
      </c>
      <c r="F5" s="8">
        <f t="shared" si="0"/>
        <v>2022</v>
      </c>
      <c r="G5" s="8">
        <f t="shared" si="0"/>
        <v>2023</v>
      </c>
      <c r="H5" s="8">
        <f t="shared" si="0"/>
        <v>2024</v>
      </c>
      <c r="I5" s="8">
        <f t="shared" si="0"/>
        <v>2025</v>
      </c>
      <c r="J5" s="8">
        <f t="shared" si="0"/>
        <v>2026</v>
      </c>
      <c r="K5" s="8">
        <f t="shared" si="0"/>
        <v>2027</v>
      </c>
      <c r="L5" s="8">
        <f t="shared" si="0"/>
        <v>2028</v>
      </c>
    </row>
    <row r="7" spans="1:13" ht="15.75" x14ac:dyDescent="0.2">
      <c r="A7" s="9" t="s">
        <v>6</v>
      </c>
    </row>
    <row r="9" spans="1:13" x14ac:dyDescent="0.2">
      <c r="A9" s="10" t="s">
        <v>18</v>
      </c>
      <c r="B9" s="11">
        <v>0.02</v>
      </c>
      <c r="C9" s="11">
        <v>2.5000000000000001E-2</v>
      </c>
      <c r="D9" s="11">
        <v>2.5000000000000001E-2</v>
      </c>
      <c r="E9" s="11">
        <v>2.5000000000000001E-2</v>
      </c>
      <c r="F9" s="11">
        <v>2.5000000000000001E-2</v>
      </c>
      <c r="G9" s="11">
        <v>2.5000000000000001E-2</v>
      </c>
      <c r="H9" s="11">
        <v>2.5000000000000001E-2</v>
      </c>
      <c r="I9" s="11">
        <v>2.5000000000000001E-2</v>
      </c>
      <c r="J9" s="11">
        <v>2.5000000000000001E-2</v>
      </c>
      <c r="K9" s="11">
        <v>2.5000000000000001E-2</v>
      </c>
      <c r="L9" s="11">
        <v>2.5000000000000001E-2</v>
      </c>
      <c r="M9" s="27"/>
    </row>
    <row r="11" spans="1:13" x14ac:dyDescent="0.2">
      <c r="A11" s="13" t="s">
        <v>19</v>
      </c>
      <c r="B11" s="14">
        <f>RATE_PEG</f>
        <v>2.5000000000000001E-2</v>
      </c>
      <c r="C11" s="190">
        <f>RATE_INCR+0.02+0.0212</f>
        <v>7.6399999999999996E-2</v>
      </c>
      <c r="D11" s="189">
        <f t="shared" ref="D11:E11" si="1">RATE_INCR+0.02</f>
        <v>5.5199999999999999E-2</v>
      </c>
      <c r="E11" s="189">
        <f t="shared" si="1"/>
        <v>5.5199999999999999E-2</v>
      </c>
      <c r="F11" s="188">
        <f t="shared" ref="F11:L11" si="2">+RATE_PEG</f>
        <v>2.5000000000000001E-2</v>
      </c>
      <c r="G11" s="188">
        <f t="shared" si="2"/>
        <v>2.5000000000000001E-2</v>
      </c>
      <c r="H11" s="188">
        <f t="shared" si="2"/>
        <v>2.5000000000000001E-2</v>
      </c>
      <c r="I11" s="188">
        <f t="shared" si="2"/>
        <v>2.5000000000000001E-2</v>
      </c>
      <c r="J11" s="188">
        <f t="shared" si="2"/>
        <v>2.5000000000000001E-2</v>
      </c>
      <c r="K11" s="188">
        <f t="shared" si="2"/>
        <v>2.5000000000000001E-2</v>
      </c>
      <c r="L11" s="188">
        <f t="shared" si="2"/>
        <v>2.5000000000000001E-2</v>
      </c>
    </row>
    <row r="12" spans="1:13" x14ac:dyDescent="0.2">
      <c r="A12" s="13" t="s">
        <v>20</v>
      </c>
      <c r="B12" s="15">
        <v>763.53</v>
      </c>
      <c r="C12" s="15">
        <f>B12*(1+C11)</f>
        <v>821.86369200000001</v>
      </c>
      <c r="D12" s="15">
        <f t="shared" ref="D12:L12" si="3">C12*(1+D11)</f>
        <v>867.23056779839999</v>
      </c>
      <c r="E12" s="15">
        <f t="shared" si="3"/>
        <v>915.10169514087158</v>
      </c>
      <c r="F12" s="15">
        <f t="shared" si="3"/>
        <v>937.97923751939334</v>
      </c>
      <c r="G12" s="15">
        <f t="shared" si="3"/>
        <v>961.42871845737807</v>
      </c>
      <c r="H12" s="15">
        <f t="shared" si="3"/>
        <v>985.4644364188124</v>
      </c>
      <c r="I12" s="15">
        <f t="shared" si="3"/>
        <v>1010.1010473292827</v>
      </c>
      <c r="J12" s="15">
        <f t="shared" si="3"/>
        <v>1035.3535735125147</v>
      </c>
      <c r="K12" s="15">
        <f t="shared" si="3"/>
        <v>1061.2374128503275</v>
      </c>
      <c r="L12" s="15">
        <f t="shared" si="3"/>
        <v>1087.7683481715856</v>
      </c>
    </row>
    <row r="13" spans="1:13" x14ac:dyDescent="0.2">
      <c r="A13" s="13" t="s">
        <v>21</v>
      </c>
      <c r="B13" s="16">
        <v>51895</v>
      </c>
      <c r="C13" s="16">
        <f>B13+C14</f>
        <v>52195</v>
      </c>
      <c r="D13" s="16">
        <f>C13+D14</f>
        <v>52495</v>
      </c>
      <c r="E13" s="16">
        <f t="shared" ref="E13:L13" si="4">D13+E14</f>
        <v>52795</v>
      </c>
      <c r="F13" s="16">
        <f t="shared" si="4"/>
        <v>53095</v>
      </c>
      <c r="G13" s="16">
        <f t="shared" si="4"/>
        <v>53395</v>
      </c>
      <c r="H13" s="16">
        <f t="shared" si="4"/>
        <v>53695</v>
      </c>
      <c r="I13" s="16">
        <f t="shared" si="4"/>
        <v>53995</v>
      </c>
      <c r="J13" s="16">
        <f t="shared" si="4"/>
        <v>54295</v>
      </c>
      <c r="K13" s="16">
        <f t="shared" si="4"/>
        <v>54595</v>
      </c>
      <c r="L13" s="16">
        <f t="shared" si="4"/>
        <v>54895</v>
      </c>
    </row>
    <row r="14" spans="1:13" x14ac:dyDescent="0.2">
      <c r="A14" s="13" t="s">
        <v>22</v>
      </c>
      <c r="B14" s="16"/>
      <c r="C14" s="16">
        <v>300</v>
      </c>
      <c r="D14" s="16">
        <v>300</v>
      </c>
      <c r="E14" s="16">
        <v>300</v>
      </c>
      <c r="F14" s="16">
        <v>300</v>
      </c>
      <c r="G14" s="16">
        <v>300</v>
      </c>
      <c r="H14" s="16">
        <v>300</v>
      </c>
      <c r="I14" s="16">
        <v>300</v>
      </c>
      <c r="J14" s="16">
        <v>300</v>
      </c>
      <c r="K14" s="16">
        <v>300</v>
      </c>
      <c r="L14" s="16">
        <v>300</v>
      </c>
    </row>
    <row r="15" spans="1:13" x14ac:dyDescent="0.2">
      <c r="A15" s="13" t="s">
        <v>23</v>
      </c>
      <c r="B15" s="17"/>
      <c r="C15" s="14">
        <f>C14/B13</f>
        <v>5.780903747952597E-3</v>
      </c>
      <c r="D15" s="14">
        <f t="shared" ref="D15:L15" si="5">D14/C13</f>
        <v>5.7476769805536931E-3</v>
      </c>
      <c r="E15" s="14">
        <f t="shared" si="5"/>
        <v>5.7148299838079815E-3</v>
      </c>
      <c r="F15" s="14">
        <f t="shared" si="5"/>
        <v>5.6823562837389902E-3</v>
      </c>
      <c r="G15" s="14">
        <f t="shared" si="5"/>
        <v>5.6502495526885767E-3</v>
      </c>
      <c r="H15" s="14">
        <f t="shared" si="5"/>
        <v>5.6185036052064799E-3</v>
      </c>
      <c r="I15" s="14">
        <f t="shared" si="5"/>
        <v>5.5871123940776611E-3</v>
      </c>
      <c r="J15" s="14">
        <f t="shared" si="5"/>
        <v>5.556070006482082E-3</v>
      </c>
      <c r="K15" s="14">
        <f t="shared" si="5"/>
        <v>5.5253706602817936E-3</v>
      </c>
      <c r="L15" s="14">
        <f t="shared" si="5"/>
        <v>5.495008700430442E-3</v>
      </c>
    </row>
    <row r="16" spans="1:13" x14ac:dyDescent="0.2">
      <c r="A16" s="10" t="s">
        <v>24</v>
      </c>
      <c r="B16" s="10"/>
      <c r="C16" s="11">
        <f>C11+C15</f>
        <v>8.2180903747952588E-2</v>
      </c>
      <c r="D16" s="11">
        <f t="shared" ref="D16:K16" si="6">D11+D15</f>
        <v>6.0947676980553693E-2</v>
      </c>
      <c r="E16" s="11">
        <f t="shared" si="6"/>
        <v>6.0914829983807983E-2</v>
      </c>
      <c r="F16" s="11">
        <f t="shared" si="6"/>
        <v>3.0682356283738992E-2</v>
      </c>
      <c r="G16" s="11">
        <f t="shared" si="6"/>
        <v>3.065024955268858E-2</v>
      </c>
      <c r="H16" s="11">
        <f t="shared" si="6"/>
        <v>3.061850360520648E-2</v>
      </c>
      <c r="I16" s="11">
        <f t="shared" si="6"/>
        <v>3.0587112394077662E-2</v>
      </c>
      <c r="J16" s="11">
        <f t="shared" si="6"/>
        <v>3.0556070006482083E-2</v>
      </c>
      <c r="K16" s="11">
        <f t="shared" si="6"/>
        <v>3.0525370660281794E-2</v>
      </c>
      <c r="L16" s="11">
        <f>L11+L15</f>
        <v>3.0495008700430443E-2</v>
      </c>
    </row>
    <row r="18" spans="1:13" x14ac:dyDescent="0.2">
      <c r="A18" s="10" t="s">
        <v>26</v>
      </c>
      <c r="B18" s="10"/>
      <c r="C18" s="11">
        <f t="shared" ref="C18:D18" si="7">C16</f>
        <v>8.2180903747952588E-2</v>
      </c>
      <c r="D18" s="11">
        <f t="shared" si="7"/>
        <v>6.0947676980553693E-2</v>
      </c>
      <c r="E18" s="11"/>
      <c r="F18" s="11"/>
      <c r="G18" s="11"/>
      <c r="H18" s="11"/>
      <c r="I18" s="11"/>
      <c r="J18" s="11"/>
      <c r="K18" s="11"/>
      <c r="L18" s="11"/>
    </row>
    <row r="20" spans="1:13" x14ac:dyDescent="0.2">
      <c r="A20" s="10" t="s">
        <v>27</v>
      </c>
      <c r="B20" s="10"/>
      <c r="C20" s="11">
        <f>C15</f>
        <v>5.780903747952597E-3</v>
      </c>
      <c r="D20" s="11">
        <f t="shared" ref="D20:L20" si="8">D15</f>
        <v>5.7476769805536931E-3</v>
      </c>
      <c r="E20" s="11">
        <f t="shared" si="8"/>
        <v>5.7148299838079815E-3</v>
      </c>
      <c r="F20" s="11">
        <f t="shared" si="8"/>
        <v>5.6823562837389902E-3</v>
      </c>
      <c r="G20" s="11">
        <f t="shared" si="8"/>
        <v>5.6502495526885767E-3</v>
      </c>
      <c r="H20" s="11">
        <f t="shared" si="8"/>
        <v>5.6185036052064799E-3</v>
      </c>
      <c r="I20" s="11">
        <f t="shared" si="8"/>
        <v>5.5871123940776611E-3</v>
      </c>
      <c r="J20" s="11">
        <f t="shared" si="8"/>
        <v>5.556070006482082E-3</v>
      </c>
      <c r="K20" s="11">
        <f t="shared" si="8"/>
        <v>5.5253706602817936E-3</v>
      </c>
      <c r="L20" s="11">
        <f t="shared" si="8"/>
        <v>5.495008700430442E-3</v>
      </c>
    </row>
    <row r="22" spans="1:13" x14ac:dyDescent="0.2">
      <c r="A22" s="10" t="s">
        <v>636</v>
      </c>
      <c r="B22" s="20">
        <f>'[1]DW Strategy'!D53</f>
        <v>2.0250000000000001E-2</v>
      </c>
      <c r="C22" s="20">
        <f>'[1]DW Strategy'!E53</f>
        <v>2.5000000000000001E-2</v>
      </c>
      <c r="D22" s="20">
        <f>'[1]DW Strategy'!F53</f>
        <v>2.5000000000000001E-2</v>
      </c>
      <c r="E22" s="20">
        <f>'[1]DW Strategy'!G53</f>
        <v>2.5000000000000001E-2</v>
      </c>
      <c r="F22" s="20">
        <f>'[1]DW Strategy'!H53</f>
        <v>2.5000000000000001E-2</v>
      </c>
      <c r="G22" s="20">
        <f>'[1]DW Strategy'!I53</f>
        <v>2.5000000000000001E-2</v>
      </c>
      <c r="H22" s="20">
        <f>'[1]DW Strategy'!J53</f>
        <v>0.03</v>
      </c>
      <c r="I22" s="20">
        <f>'[1]DW Strategy'!K53</f>
        <v>0.03</v>
      </c>
      <c r="J22" s="20">
        <f>'[1]DW Strategy'!L53</f>
        <v>0.03</v>
      </c>
      <c r="K22" s="20">
        <f>'[1]DW Strategy'!M53</f>
        <v>2.5000000000000001E-2</v>
      </c>
      <c r="L22" s="20">
        <f>'[1]DW Strategy'!N53</f>
        <v>2.5000000000000001E-2</v>
      </c>
    </row>
    <row r="24" spans="1:13" x14ac:dyDescent="0.2">
      <c r="A24" s="10" t="s">
        <v>28</v>
      </c>
      <c r="B24" s="10"/>
      <c r="C24" s="11">
        <f>C9*0.25+(C36+C38)*0.75</f>
        <v>3.6751702454457379E-2</v>
      </c>
      <c r="D24" s="11">
        <f t="shared" ref="D24:L24" si="9">D9*0.25+(D36+D38)*0.75</f>
        <v>3.6751702454457379E-2</v>
      </c>
      <c r="E24" s="11">
        <f t="shared" si="9"/>
        <v>3.6751702454457379E-2</v>
      </c>
      <c r="F24" s="11">
        <f t="shared" si="9"/>
        <v>3.6751702454457379E-2</v>
      </c>
      <c r="G24" s="11">
        <f t="shared" si="9"/>
        <v>3.6751702454457379E-2</v>
      </c>
      <c r="H24" s="11">
        <f t="shared" si="9"/>
        <v>3.6751702454457379E-2</v>
      </c>
      <c r="I24" s="11">
        <f t="shared" si="9"/>
        <v>3.6751702454457379E-2</v>
      </c>
      <c r="J24" s="11">
        <f t="shared" si="9"/>
        <v>3.6751702454457379E-2</v>
      </c>
      <c r="K24" s="11">
        <f t="shared" si="9"/>
        <v>3.6751702454457379E-2</v>
      </c>
      <c r="L24" s="11">
        <f t="shared" si="9"/>
        <v>3.6751702454457379E-2</v>
      </c>
    </row>
    <row r="26" spans="1:13" x14ac:dyDescent="0.2">
      <c r="A26" s="10" t="s">
        <v>29</v>
      </c>
      <c r="B26" s="10"/>
      <c r="C26" s="11">
        <f>C9</f>
        <v>2.5000000000000001E-2</v>
      </c>
      <c r="D26" s="11">
        <f t="shared" ref="D26:L26" si="10">D9</f>
        <v>2.5000000000000001E-2</v>
      </c>
      <c r="E26" s="11">
        <f t="shared" si="10"/>
        <v>2.5000000000000001E-2</v>
      </c>
      <c r="F26" s="11">
        <f t="shared" si="10"/>
        <v>2.5000000000000001E-2</v>
      </c>
      <c r="G26" s="11">
        <f t="shared" si="10"/>
        <v>2.5000000000000001E-2</v>
      </c>
      <c r="H26" s="11">
        <f t="shared" si="10"/>
        <v>2.5000000000000001E-2</v>
      </c>
      <c r="I26" s="11">
        <f t="shared" si="10"/>
        <v>2.5000000000000001E-2</v>
      </c>
      <c r="J26" s="11">
        <f t="shared" si="10"/>
        <v>2.5000000000000001E-2</v>
      </c>
      <c r="K26" s="11">
        <f t="shared" si="10"/>
        <v>2.5000000000000001E-2</v>
      </c>
      <c r="L26" s="11">
        <f t="shared" si="10"/>
        <v>2.5000000000000001E-2</v>
      </c>
    </row>
    <row r="28" spans="1:13" x14ac:dyDescent="0.2">
      <c r="A28" s="10" t="s">
        <v>30</v>
      </c>
      <c r="B28" s="10"/>
      <c r="C28" s="11">
        <v>2.5000000000000001E-2</v>
      </c>
      <c r="D28" s="11">
        <f t="shared" ref="D28:L28" si="11">D9</f>
        <v>2.5000000000000001E-2</v>
      </c>
      <c r="E28" s="11">
        <f t="shared" si="11"/>
        <v>2.5000000000000001E-2</v>
      </c>
      <c r="F28" s="11">
        <f t="shared" si="11"/>
        <v>2.5000000000000001E-2</v>
      </c>
      <c r="G28" s="11">
        <f t="shared" si="11"/>
        <v>2.5000000000000001E-2</v>
      </c>
      <c r="H28" s="11">
        <f t="shared" si="11"/>
        <v>2.5000000000000001E-2</v>
      </c>
      <c r="I28" s="11">
        <f t="shared" si="11"/>
        <v>2.5000000000000001E-2</v>
      </c>
      <c r="J28" s="11">
        <f t="shared" si="11"/>
        <v>2.5000000000000001E-2</v>
      </c>
      <c r="K28" s="11">
        <f t="shared" si="11"/>
        <v>2.5000000000000001E-2</v>
      </c>
      <c r="L28" s="11">
        <f t="shared" si="11"/>
        <v>2.5000000000000001E-2</v>
      </c>
    </row>
    <row r="30" spans="1:13" ht="15" x14ac:dyDescent="0.25">
      <c r="A30" s="13" t="s">
        <v>31</v>
      </c>
      <c r="B30" s="14"/>
      <c r="C30" s="23">
        <v>2.75E-2</v>
      </c>
      <c r="D30" s="23">
        <v>2.75E-2</v>
      </c>
      <c r="E30" s="23">
        <v>2.75E-2</v>
      </c>
      <c r="F30" s="23">
        <v>2.75E-2</v>
      </c>
      <c r="G30" s="23">
        <v>2.75E-2</v>
      </c>
      <c r="H30" s="23">
        <v>2.98E-2</v>
      </c>
      <c r="I30" s="23">
        <v>2.98E-2</v>
      </c>
      <c r="J30" s="23">
        <v>2.98E-2</v>
      </c>
      <c r="K30" s="23">
        <v>2.98E-2</v>
      </c>
      <c r="L30" s="23">
        <v>2.98E-2</v>
      </c>
      <c r="M30" s="27" t="s">
        <v>1235</v>
      </c>
    </row>
    <row r="31" spans="1:13" x14ac:dyDescent="0.2">
      <c r="A31" s="21" t="s">
        <v>32</v>
      </c>
      <c r="B31" s="14"/>
      <c r="C31" s="14">
        <v>5.0000000000000001E-3</v>
      </c>
      <c r="D31" s="14">
        <v>5.0000000000000001E-3</v>
      </c>
      <c r="E31" s="14">
        <v>5.0000000000000001E-3</v>
      </c>
      <c r="F31" s="14">
        <v>5.0000000000000001E-3</v>
      </c>
      <c r="G31" s="14">
        <v>5.0000000000000001E-3</v>
      </c>
      <c r="H31" s="14">
        <v>5.0000000000000001E-3</v>
      </c>
      <c r="I31" s="14">
        <v>5.0000000000000001E-3</v>
      </c>
      <c r="J31" s="14">
        <v>5.0000000000000001E-3</v>
      </c>
      <c r="K31" s="14">
        <v>5.0000000000000001E-3</v>
      </c>
      <c r="L31" s="14">
        <v>5.0000000000000001E-3</v>
      </c>
    </row>
    <row r="32" spans="1:13" x14ac:dyDescent="0.2">
      <c r="A32" s="22" t="s">
        <v>33</v>
      </c>
      <c r="B32" s="10"/>
      <c r="C32" s="11">
        <f>SUM(C30:C31)</f>
        <v>3.2500000000000001E-2</v>
      </c>
      <c r="D32" s="11">
        <f t="shared" ref="D32:L32" si="12">SUM(D30:D31)</f>
        <v>3.2500000000000001E-2</v>
      </c>
      <c r="E32" s="11">
        <f t="shared" si="12"/>
        <v>3.2500000000000001E-2</v>
      </c>
      <c r="F32" s="11">
        <f t="shared" si="12"/>
        <v>3.2500000000000001E-2</v>
      </c>
      <c r="G32" s="11">
        <f t="shared" si="12"/>
        <v>3.2500000000000001E-2</v>
      </c>
      <c r="H32" s="11">
        <f t="shared" si="12"/>
        <v>3.4799999999999998E-2</v>
      </c>
      <c r="I32" s="11">
        <f t="shared" si="12"/>
        <v>3.4799999999999998E-2</v>
      </c>
      <c r="J32" s="11">
        <f t="shared" si="12"/>
        <v>3.4799999999999998E-2</v>
      </c>
      <c r="K32" s="11">
        <f t="shared" si="12"/>
        <v>3.4799999999999998E-2</v>
      </c>
      <c r="L32" s="11">
        <f t="shared" si="12"/>
        <v>3.4799999999999998E-2</v>
      </c>
    </row>
    <row r="34" spans="1:13" ht="15.75" x14ac:dyDescent="0.2">
      <c r="A34" s="9" t="s">
        <v>34</v>
      </c>
    </row>
    <row r="36" spans="1:13" x14ac:dyDescent="0.2">
      <c r="A36" s="24" t="s">
        <v>35</v>
      </c>
      <c r="B36" s="24"/>
      <c r="C36" s="25">
        <f>Salaries!$I$27</f>
        <v>4.3668936605943176E-2</v>
      </c>
      <c r="D36" s="25">
        <f>Salaries!$I$27</f>
        <v>4.3668936605943176E-2</v>
      </c>
      <c r="E36" s="25">
        <f>Salaries!$I$27</f>
        <v>4.3668936605943176E-2</v>
      </c>
      <c r="F36" s="25">
        <f>Salaries!$I$27</f>
        <v>4.3668936605943176E-2</v>
      </c>
      <c r="G36" s="25">
        <f>Salaries!$I$27</f>
        <v>4.3668936605943176E-2</v>
      </c>
      <c r="H36" s="25">
        <f>Salaries!$I$27</f>
        <v>4.3668936605943176E-2</v>
      </c>
      <c r="I36" s="25">
        <f>Salaries!$I$27</f>
        <v>4.3668936605943176E-2</v>
      </c>
      <c r="J36" s="25">
        <f>Salaries!$I$27</f>
        <v>4.3668936605943176E-2</v>
      </c>
      <c r="K36" s="25">
        <f>Salaries!$I$27</f>
        <v>4.3668936605943176E-2</v>
      </c>
      <c r="L36" s="25">
        <f>Salaries!$I$27</f>
        <v>4.3668936605943176E-2</v>
      </c>
      <c r="M36" s="27"/>
    </row>
    <row r="37" spans="1:13" x14ac:dyDescent="0.2">
      <c r="C37" s="26"/>
      <c r="D37" s="26"/>
      <c r="E37" s="26"/>
      <c r="F37" s="26"/>
      <c r="G37" s="26"/>
      <c r="H37" s="26"/>
      <c r="I37" s="26"/>
      <c r="J37" s="26"/>
      <c r="K37" s="26"/>
    </row>
    <row r="38" spans="1:13" x14ac:dyDescent="0.2">
      <c r="A38" s="192" t="s">
        <v>1229</v>
      </c>
      <c r="B38" s="192"/>
      <c r="C38" s="193">
        <v>-3.0000000000000001E-3</v>
      </c>
      <c r="D38" s="193">
        <v>-3.0000000000000001E-3</v>
      </c>
      <c r="E38" s="193">
        <v>-3.0000000000000001E-3</v>
      </c>
      <c r="F38" s="193">
        <v>-3.0000000000000001E-3</v>
      </c>
      <c r="G38" s="193">
        <v>-3.0000000000000001E-3</v>
      </c>
      <c r="H38" s="193">
        <v>-3.0000000000000001E-3</v>
      </c>
      <c r="I38" s="193">
        <v>-3.0000000000000001E-3</v>
      </c>
      <c r="J38" s="193">
        <v>-3.0000000000000001E-3</v>
      </c>
      <c r="K38" s="193">
        <v>-3.0000000000000001E-3</v>
      </c>
      <c r="L38" s="193">
        <v>-3.0000000000000001E-3</v>
      </c>
    </row>
    <row r="39" spans="1:13" x14ac:dyDescent="0.2">
      <c r="C39" s="26"/>
      <c r="D39" s="26"/>
      <c r="E39" s="26"/>
      <c r="F39" s="26"/>
      <c r="G39" s="26"/>
      <c r="H39" s="26"/>
      <c r="I39" s="26"/>
      <c r="J39" s="26"/>
      <c r="K39" s="26"/>
    </row>
    <row r="40" spans="1:13" x14ac:dyDescent="0.2">
      <c r="A40" s="24" t="s">
        <v>1153</v>
      </c>
      <c r="B40" s="24"/>
      <c r="C40" s="25">
        <v>2.5000000000000001E-2</v>
      </c>
      <c r="D40" s="25">
        <v>2.5000000000000001E-2</v>
      </c>
      <c r="E40" s="25">
        <v>2.5000000000000001E-2</v>
      </c>
      <c r="F40" s="25">
        <v>2.5000000000000001E-2</v>
      </c>
      <c r="G40" s="25">
        <v>2.5000000000000001E-2</v>
      </c>
      <c r="H40" s="25">
        <v>2.5000000000000001E-2</v>
      </c>
      <c r="I40" s="25">
        <v>2.5000000000000001E-2</v>
      </c>
      <c r="J40" s="25">
        <v>2.5000000000000001E-2</v>
      </c>
      <c r="K40" s="25">
        <v>2.5000000000000001E-2</v>
      </c>
      <c r="L40" s="25">
        <v>2.5000000000000001E-2</v>
      </c>
    </row>
    <row r="41" spans="1:13" x14ac:dyDescent="0.2">
      <c r="C41" s="26"/>
      <c r="D41" s="26"/>
      <c r="E41" s="26"/>
      <c r="F41" s="26"/>
      <c r="G41" s="26"/>
      <c r="H41" s="26"/>
      <c r="I41" s="26"/>
      <c r="J41" s="26"/>
      <c r="K41" s="26"/>
    </row>
    <row r="42" spans="1:13" x14ac:dyDescent="0.2">
      <c r="A42" s="24" t="s">
        <v>1237</v>
      </c>
      <c r="B42" s="24"/>
      <c r="C42" s="25">
        <v>2.8000000000000001E-2</v>
      </c>
      <c r="D42" s="25">
        <v>2.8000000000000001E-2</v>
      </c>
      <c r="E42" s="25">
        <v>2.8000000000000001E-2</v>
      </c>
      <c r="F42" s="25">
        <v>2.8000000000000001E-2</v>
      </c>
      <c r="G42" s="25">
        <v>2.8000000000000001E-2</v>
      </c>
      <c r="H42" s="25">
        <v>2.8000000000000001E-2</v>
      </c>
      <c r="I42" s="25">
        <v>2.8000000000000001E-2</v>
      </c>
      <c r="J42" s="25">
        <v>2.8000000000000001E-2</v>
      </c>
      <c r="K42" s="25">
        <v>2.8000000000000001E-2</v>
      </c>
      <c r="L42" s="25">
        <v>2.8000000000000001E-2</v>
      </c>
    </row>
    <row r="43" spans="1:13" x14ac:dyDescent="0.2">
      <c r="C43" s="26"/>
      <c r="D43" s="26"/>
      <c r="E43" s="26"/>
      <c r="F43" s="26"/>
      <c r="G43" s="26"/>
      <c r="H43" s="26"/>
      <c r="I43" s="26"/>
      <c r="J43" s="26"/>
      <c r="K43" s="26"/>
    </row>
    <row r="44" spans="1:13" x14ac:dyDescent="0.2">
      <c r="A44" s="24" t="s">
        <v>1152</v>
      </c>
      <c r="B44" s="24"/>
      <c r="C44" s="25">
        <v>2.5000000000000001E-2</v>
      </c>
      <c r="D44" s="25">
        <v>2.5000000000000001E-2</v>
      </c>
      <c r="E44" s="25">
        <v>2.5000000000000001E-2</v>
      </c>
      <c r="F44" s="25">
        <v>2.5000000000000001E-2</v>
      </c>
      <c r="G44" s="25">
        <v>2.5000000000000001E-2</v>
      </c>
      <c r="H44" s="25">
        <v>2.5000000000000001E-2</v>
      </c>
      <c r="I44" s="25">
        <v>2.5000000000000001E-2</v>
      </c>
      <c r="J44" s="25">
        <v>2.5000000000000001E-2</v>
      </c>
      <c r="K44" s="25">
        <v>2.5000000000000001E-2</v>
      </c>
      <c r="L44" s="25">
        <v>2.5000000000000001E-2</v>
      </c>
    </row>
    <row r="45" spans="1:13" x14ac:dyDescent="0.2">
      <c r="C45" s="26"/>
      <c r="D45" s="26"/>
      <c r="E45" s="26"/>
      <c r="F45" s="26"/>
      <c r="G45" s="26"/>
      <c r="H45" s="26"/>
      <c r="I45" s="26"/>
      <c r="J45" s="26"/>
      <c r="K45" s="26"/>
    </row>
    <row r="46" spans="1:13" x14ac:dyDescent="0.2">
      <c r="A46" s="24" t="s">
        <v>1146</v>
      </c>
      <c r="B46" s="24"/>
      <c r="C46" s="25">
        <v>9.5000000000000001E-2</v>
      </c>
      <c r="D46" s="25">
        <v>9.5000000000000001E-2</v>
      </c>
      <c r="E46" s="25">
        <v>9.5000000000000001E-2</v>
      </c>
      <c r="F46" s="25">
        <v>0.1</v>
      </c>
      <c r="G46" s="25">
        <v>0.105</v>
      </c>
      <c r="H46" s="25">
        <v>0.11</v>
      </c>
      <c r="I46" s="25">
        <v>0.115</v>
      </c>
      <c r="J46" s="25">
        <v>0.12</v>
      </c>
      <c r="K46" s="25">
        <v>0.12</v>
      </c>
      <c r="L46" s="25">
        <v>0.12</v>
      </c>
    </row>
    <row r="47" spans="1:13" x14ac:dyDescent="0.2">
      <c r="C47" s="26"/>
      <c r="D47" s="26"/>
      <c r="E47" s="26"/>
      <c r="F47" s="26"/>
      <c r="G47" s="26"/>
      <c r="H47" s="26"/>
      <c r="I47" s="26"/>
      <c r="J47" s="26"/>
      <c r="K47" s="26"/>
    </row>
    <row r="48" spans="1:13" x14ac:dyDescent="0.2">
      <c r="A48" s="24" t="s">
        <v>1161</v>
      </c>
      <c r="B48" s="24"/>
      <c r="C48" s="25">
        <f>C36</f>
        <v>4.3668936605943176E-2</v>
      </c>
      <c r="D48" s="25">
        <f t="shared" ref="D48:L48" si="13">D36</f>
        <v>4.3668936605943176E-2</v>
      </c>
      <c r="E48" s="25">
        <f t="shared" si="13"/>
        <v>4.3668936605943176E-2</v>
      </c>
      <c r="F48" s="25">
        <f t="shared" si="13"/>
        <v>4.3668936605943176E-2</v>
      </c>
      <c r="G48" s="25">
        <f t="shared" si="13"/>
        <v>4.3668936605943176E-2</v>
      </c>
      <c r="H48" s="25">
        <f t="shared" si="13"/>
        <v>4.3668936605943176E-2</v>
      </c>
      <c r="I48" s="25">
        <f t="shared" si="13"/>
        <v>4.3668936605943176E-2</v>
      </c>
      <c r="J48" s="25">
        <f t="shared" si="13"/>
        <v>4.3668936605943176E-2</v>
      </c>
      <c r="K48" s="25">
        <f t="shared" si="13"/>
        <v>4.3668936605943176E-2</v>
      </c>
      <c r="L48" s="25">
        <f t="shared" si="13"/>
        <v>4.3668936605943176E-2</v>
      </c>
    </row>
    <row r="49" spans="1:13" x14ac:dyDescent="0.2">
      <c r="C49" s="26"/>
      <c r="D49" s="26"/>
      <c r="E49" s="26"/>
      <c r="F49" s="26"/>
      <c r="G49" s="26"/>
      <c r="H49" s="26"/>
      <c r="I49" s="26"/>
      <c r="J49" s="26"/>
      <c r="K49" s="26"/>
    </row>
    <row r="50" spans="1:13" x14ac:dyDescent="0.2">
      <c r="A50" s="24" t="s">
        <v>36</v>
      </c>
      <c r="B50" s="25"/>
      <c r="C50" s="25">
        <v>2.8000000000000001E-2</v>
      </c>
      <c r="D50" s="25">
        <v>2.8000000000000001E-2</v>
      </c>
      <c r="E50" s="25">
        <v>2.8000000000000001E-2</v>
      </c>
      <c r="F50" s="25">
        <v>2.8000000000000001E-2</v>
      </c>
      <c r="G50" s="25">
        <v>2.8000000000000001E-2</v>
      </c>
      <c r="H50" s="25">
        <v>2.8000000000000001E-2</v>
      </c>
      <c r="I50" s="25">
        <v>2.8000000000000001E-2</v>
      </c>
      <c r="J50" s="25">
        <v>2.8000000000000001E-2</v>
      </c>
      <c r="K50" s="25">
        <v>2.8000000000000001E-2</v>
      </c>
      <c r="L50" s="25">
        <v>2.8000000000000001E-2</v>
      </c>
      <c r="M50" s="27"/>
    </row>
    <row r="51" spans="1:13" x14ac:dyDescent="0.2">
      <c r="C51" s="26"/>
      <c r="D51" s="26"/>
      <c r="E51" s="26"/>
      <c r="F51" s="26"/>
      <c r="G51" s="26"/>
      <c r="H51" s="26"/>
      <c r="I51" s="26"/>
      <c r="J51" s="26"/>
      <c r="K51" s="26"/>
    </row>
    <row r="52" spans="1:13" x14ac:dyDescent="0.2">
      <c r="A52" s="24" t="s">
        <v>1160</v>
      </c>
      <c r="B52" s="25"/>
      <c r="C52" s="25">
        <f>C50</f>
        <v>2.8000000000000001E-2</v>
      </c>
      <c r="D52" s="25">
        <f t="shared" ref="D52:L52" si="14">D50</f>
        <v>2.8000000000000001E-2</v>
      </c>
      <c r="E52" s="25">
        <f t="shared" si="14"/>
        <v>2.8000000000000001E-2</v>
      </c>
      <c r="F52" s="25">
        <f t="shared" si="14"/>
        <v>2.8000000000000001E-2</v>
      </c>
      <c r="G52" s="25">
        <f t="shared" si="14"/>
        <v>2.8000000000000001E-2</v>
      </c>
      <c r="H52" s="25">
        <f t="shared" si="14"/>
        <v>2.8000000000000001E-2</v>
      </c>
      <c r="I52" s="25">
        <f t="shared" si="14"/>
        <v>2.8000000000000001E-2</v>
      </c>
      <c r="J52" s="25">
        <f t="shared" si="14"/>
        <v>2.8000000000000001E-2</v>
      </c>
      <c r="K52" s="25">
        <f t="shared" si="14"/>
        <v>2.8000000000000001E-2</v>
      </c>
      <c r="L52" s="25">
        <f t="shared" si="14"/>
        <v>2.8000000000000001E-2</v>
      </c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</row>
    <row r="54" spans="1:13" x14ac:dyDescent="0.2">
      <c r="A54" s="24" t="s">
        <v>37</v>
      </c>
      <c r="B54" s="24"/>
      <c r="C54" s="25">
        <v>0.06</v>
      </c>
      <c r="D54" s="25">
        <f>C54</f>
        <v>0.06</v>
      </c>
      <c r="E54" s="25">
        <f t="shared" ref="E54:L54" si="15">D54</f>
        <v>0.06</v>
      </c>
      <c r="F54" s="25">
        <f t="shared" si="15"/>
        <v>0.06</v>
      </c>
      <c r="G54" s="25">
        <f t="shared" si="15"/>
        <v>0.06</v>
      </c>
      <c r="H54" s="25">
        <f t="shared" si="15"/>
        <v>0.06</v>
      </c>
      <c r="I54" s="25">
        <f t="shared" si="15"/>
        <v>0.06</v>
      </c>
      <c r="J54" s="25">
        <f t="shared" si="15"/>
        <v>0.06</v>
      </c>
      <c r="K54" s="25">
        <f t="shared" si="15"/>
        <v>0.06</v>
      </c>
      <c r="L54" s="25">
        <f t="shared" si="15"/>
        <v>0.06</v>
      </c>
      <c r="M54" s="27"/>
    </row>
    <row r="56" spans="1:13" x14ac:dyDescent="0.2">
      <c r="A56" s="24"/>
      <c r="B56" s="24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8" spans="1:13" ht="15.75" x14ac:dyDescent="0.2">
      <c r="A58" s="9" t="s">
        <v>1168</v>
      </c>
    </row>
    <row r="60" spans="1:13" x14ac:dyDescent="0.2">
      <c r="A60" s="157" t="s">
        <v>1169</v>
      </c>
      <c r="B60" s="158">
        <f>B9</f>
        <v>0.02</v>
      </c>
      <c r="C60" s="158">
        <f t="shared" ref="C60:L60" si="16">C9</f>
        <v>2.5000000000000001E-2</v>
      </c>
      <c r="D60" s="158">
        <f t="shared" si="16"/>
        <v>2.5000000000000001E-2</v>
      </c>
      <c r="E60" s="158">
        <f t="shared" si="16"/>
        <v>2.5000000000000001E-2</v>
      </c>
      <c r="F60" s="158">
        <f t="shared" si="16"/>
        <v>2.5000000000000001E-2</v>
      </c>
      <c r="G60" s="158">
        <f t="shared" si="16"/>
        <v>2.5000000000000001E-2</v>
      </c>
      <c r="H60" s="158">
        <f t="shared" si="16"/>
        <v>2.5000000000000001E-2</v>
      </c>
      <c r="I60" s="158">
        <f t="shared" si="16"/>
        <v>2.5000000000000001E-2</v>
      </c>
      <c r="J60" s="158">
        <f t="shared" si="16"/>
        <v>2.5000000000000001E-2</v>
      </c>
      <c r="K60" s="158">
        <f t="shared" si="16"/>
        <v>2.5000000000000001E-2</v>
      </c>
      <c r="L60" s="158">
        <f t="shared" si="16"/>
        <v>2.5000000000000001E-2</v>
      </c>
    </row>
    <row r="62" spans="1:13" x14ac:dyDescent="0.2">
      <c r="A62" s="157" t="s">
        <v>1170</v>
      </c>
      <c r="B62" s="158">
        <f>+B60</f>
        <v>0.02</v>
      </c>
      <c r="C62" s="158">
        <f>+C60</f>
        <v>2.5000000000000001E-2</v>
      </c>
      <c r="D62" s="158">
        <f t="shared" ref="D62:L62" si="17">+D60</f>
        <v>2.5000000000000001E-2</v>
      </c>
      <c r="E62" s="158">
        <f t="shared" si="17"/>
        <v>2.5000000000000001E-2</v>
      </c>
      <c r="F62" s="158">
        <f t="shared" si="17"/>
        <v>2.5000000000000001E-2</v>
      </c>
      <c r="G62" s="158">
        <f t="shared" si="17"/>
        <v>2.5000000000000001E-2</v>
      </c>
      <c r="H62" s="158">
        <f t="shared" si="17"/>
        <v>2.5000000000000001E-2</v>
      </c>
      <c r="I62" s="158">
        <f t="shared" si="17"/>
        <v>2.5000000000000001E-2</v>
      </c>
      <c r="J62" s="158">
        <f t="shared" si="17"/>
        <v>2.5000000000000001E-2</v>
      </c>
      <c r="K62" s="158">
        <f t="shared" si="17"/>
        <v>2.5000000000000001E-2</v>
      </c>
      <c r="L62" s="158">
        <f t="shared" si="17"/>
        <v>2.5000000000000001E-2</v>
      </c>
    </row>
    <row r="64" spans="1:13" x14ac:dyDescent="0.2">
      <c r="A64" s="157" t="s">
        <v>1171</v>
      </c>
      <c r="B64" s="158">
        <f>+B60</f>
        <v>0.02</v>
      </c>
      <c r="C64" s="158">
        <f>+C62</f>
        <v>2.5000000000000001E-2</v>
      </c>
      <c r="D64" s="158">
        <f t="shared" ref="D64:L64" si="18">+D62</f>
        <v>2.5000000000000001E-2</v>
      </c>
      <c r="E64" s="158">
        <f t="shared" si="18"/>
        <v>2.5000000000000001E-2</v>
      </c>
      <c r="F64" s="158">
        <f t="shared" si="18"/>
        <v>2.5000000000000001E-2</v>
      </c>
      <c r="G64" s="158">
        <f t="shared" si="18"/>
        <v>2.5000000000000001E-2</v>
      </c>
      <c r="H64" s="158">
        <f t="shared" si="18"/>
        <v>2.5000000000000001E-2</v>
      </c>
      <c r="I64" s="158">
        <f t="shared" si="18"/>
        <v>2.5000000000000001E-2</v>
      </c>
      <c r="J64" s="158">
        <f t="shared" si="18"/>
        <v>2.5000000000000001E-2</v>
      </c>
      <c r="K64" s="158">
        <f t="shared" si="18"/>
        <v>2.5000000000000001E-2</v>
      </c>
      <c r="L64" s="158">
        <f t="shared" si="18"/>
        <v>2.5000000000000001E-2</v>
      </c>
    </row>
    <row r="66" spans="1:12" x14ac:dyDescent="0.2">
      <c r="A66" s="157" t="s">
        <v>1172</v>
      </c>
      <c r="B66" s="158">
        <f>+B60</f>
        <v>0.02</v>
      </c>
      <c r="C66" s="158">
        <f>+C64</f>
        <v>2.5000000000000001E-2</v>
      </c>
      <c r="D66" s="158">
        <f t="shared" ref="D66:L66" si="19">+D64</f>
        <v>2.5000000000000001E-2</v>
      </c>
      <c r="E66" s="158">
        <f t="shared" si="19"/>
        <v>2.5000000000000001E-2</v>
      </c>
      <c r="F66" s="158">
        <f t="shared" si="19"/>
        <v>2.5000000000000001E-2</v>
      </c>
      <c r="G66" s="158">
        <f t="shared" si="19"/>
        <v>2.5000000000000001E-2</v>
      </c>
      <c r="H66" s="158">
        <f t="shared" si="19"/>
        <v>2.5000000000000001E-2</v>
      </c>
      <c r="I66" s="158">
        <f t="shared" si="19"/>
        <v>2.5000000000000001E-2</v>
      </c>
      <c r="J66" s="158">
        <f t="shared" si="19"/>
        <v>2.5000000000000001E-2</v>
      </c>
      <c r="K66" s="158">
        <f t="shared" si="19"/>
        <v>2.5000000000000001E-2</v>
      </c>
      <c r="L66" s="158">
        <f t="shared" si="19"/>
        <v>2.5000000000000001E-2</v>
      </c>
    </row>
  </sheetData>
  <mergeCells count="1">
    <mergeCell ref="A4:A5"/>
  </mergeCells>
  <pageMargins left="0.7" right="0.7" top="0.75" bottom="0.75" header="0.3" footer="0.3"/>
  <pageSetup paperSize="9" scale="69" fitToHeight="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3"/>
  <sheetViews>
    <sheetView zoomScale="110" zoomScaleNormal="110" workbookViewId="0">
      <pane xSplit="2" ySplit="5" topLeftCell="C105" activePane="bottomRight" state="frozen"/>
      <selection pane="topRight" activeCell="C1" sqref="C1"/>
      <selection pane="bottomLeft" activeCell="A6" sqref="A6"/>
      <selection pane="bottomRight" activeCell="P54" sqref="P54"/>
    </sheetView>
  </sheetViews>
  <sheetFormatPr defaultRowHeight="15" x14ac:dyDescent="0.25"/>
  <cols>
    <col min="1" max="1" width="14.42578125" customWidth="1"/>
    <col min="2" max="2" width="40.42578125" customWidth="1"/>
    <col min="3" max="13" width="12.7109375" customWidth="1"/>
  </cols>
  <sheetData>
    <row r="1" spans="1:15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5" ht="18" customHeight="1" x14ac:dyDescent="0.25">
      <c r="A2" s="1" t="s">
        <v>583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5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5" x14ac:dyDescent="0.25">
      <c r="A4" s="6"/>
      <c r="B4" s="6"/>
      <c r="C4" s="7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17</v>
      </c>
    </row>
    <row r="5" spans="1:15" x14ac:dyDescent="0.25">
      <c r="A5" s="6"/>
      <c r="B5" s="6"/>
      <c r="C5" s="7">
        <f>BASE_YR</f>
        <v>2018</v>
      </c>
      <c r="D5" s="12">
        <f>C5+1</f>
        <v>2019</v>
      </c>
      <c r="E5" s="12">
        <f t="shared" ref="E5:M5" si="0">D5+1</f>
        <v>2020</v>
      </c>
      <c r="F5" s="12">
        <f t="shared" si="0"/>
        <v>2021</v>
      </c>
      <c r="G5" s="12">
        <f t="shared" si="0"/>
        <v>2022</v>
      </c>
      <c r="H5" s="12">
        <f t="shared" si="0"/>
        <v>2023</v>
      </c>
      <c r="I5" s="12">
        <f t="shared" si="0"/>
        <v>2024</v>
      </c>
      <c r="J5" s="12">
        <f t="shared" si="0"/>
        <v>2025</v>
      </c>
      <c r="K5" s="12">
        <f t="shared" si="0"/>
        <v>2026</v>
      </c>
      <c r="L5" s="12">
        <f t="shared" si="0"/>
        <v>2027</v>
      </c>
      <c r="M5" s="12">
        <f t="shared" si="0"/>
        <v>2028</v>
      </c>
    </row>
    <row r="7" spans="1:15" ht="15.75" x14ac:dyDescent="0.25">
      <c r="B7" s="28" t="s">
        <v>584</v>
      </c>
    </row>
    <row r="9" spans="1:15" x14ac:dyDescent="0.25">
      <c r="A9" s="6"/>
      <c r="B9" s="49" t="s">
        <v>585</v>
      </c>
    </row>
    <row r="10" spans="1:15" x14ac:dyDescent="0.25">
      <c r="A10" s="6"/>
      <c r="B10" s="6"/>
      <c r="D10" s="44"/>
      <c r="E10" s="44"/>
      <c r="F10" s="44"/>
      <c r="G10" s="44"/>
      <c r="H10" s="44"/>
      <c r="I10" s="44"/>
      <c r="J10" s="44"/>
      <c r="K10" s="44"/>
      <c r="L10" s="44"/>
      <c r="M10" s="44"/>
    </row>
    <row r="11" spans="1:15" x14ac:dyDescent="0.25">
      <c r="A11" s="6" t="s">
        <v>399</v>
      </c>
      <c r="B11" s="6" t="s">
        <v>588</v>
      </c>
      <c r="C11" s="51">
        <f>Salaries!B10+Salaries!B12+Salaries!B14</f>
        <v>50027685.1633313</v>
      </c>
      <c r="D11" s="51">
        <f>Salaries!C10+Salaries!C12+Salaries!C14</f>
        <v>51832004.537837997</v>
      </c>
      <c r="E11" s="51">
        <f>Salaries!D10+Salaries!D12+Salaries!D14</f>
        <v>53703893.164387807</v>
      </c>
      <c r="F11" s="51">
        <f>Salaries!E10+Salaries!E12+Salaries!E14</f>
        <v>55645951.552790821</v>
      </c>
      <c r="G11" s="51">
        <f>Salaries!F10+Salaries!F12+Salaries!F14</f>
        <v>57660882.197185628</v>
      </c>
      <c r="H11" s="51">
        <f>Salaries!G10+Salaries!G12+Salaries!G14</f>
        <v>59751493.62562605</v>
      </c>
      <c r="I11" s="51">
        <f>Salaries!H10+Salaries!H12+Salaries!H14</f>
        <v>61920704.611763209</v>
      </c>
      <c r="J11" s="51">
        <f>Salaries!I10+Salaries!I12+Salaries!I14</f>
        <v>64171548.55514466</v>
      </c>
      <c r="K11" s="51">
        <f>Salaries!J10+Salaries!J12+Salaries!J14</f>
        <v>66507178.036914766</v>
      </c>
      <c r="L11" s="51">
        <f>Salaries!K10+Salaries!K12+Salaries!K14</f>
        <v>68930869.557975024</v>
      </c>
      <c r="M11" s="51">
        <f>Salaries!L10+Salaries!L12+Salaries!L14</f>
        <v>71446028.46694763</v>
      </c>
      <c r="O11" s="191"/>
    </row>
    <row r="12" spans="1:15" x14ac:dyDescent="0.25">
      <c r="A12" s="6" t="s">
        <v>405</v>
      </c>
      <c r="B12" s="6" t="s">
        <v>587</v>
      </c>
      <c r="C12" s="51">
        <f>SUMIF(TB!$A:$A,A12,TB!$D:$D)</f>
        <v>50220</v>
      </c>
      <c r="D12" s="51">
        <f>C12*(1+Assumptions!C36+Assumptions!C38)</f>
        <v>52262.393996350474</v>
      </c>
      <c r="E12" s="51">
        <f>D12*(1+Assumptions!D36+Assumptions!D38)</f>
        <v>54387.849984662891</v>
      </c>
      <c r="F12" s="51">
        <f>E12*(1+Assumptions!E36+Assumptions!E38)</f>
        <v>56599.746007822709</v>
      </c>
      <c r="G12" s="51">
        <f>F12*(1+Assumptions!F36+Assumptions!F38)</f>
        <v>58901.597490127351</v>
      </c>
      <c r="H12" s="51">
        <f>G12*(1+Assumptions!G36+Assumptions!G38)</f>
        <v>61297.062824442139</v>
      </c>
      <c r="I12" s="51">
        <f>H12*(1+Assumptions!H36+Assumptions!H38)</f>
        <v>63789.949186579906</v>
      </c>
      <c r="J12" s="51">
        <f>I12*(1+Assumptions!I36+Assumptions!I38)</f>
        <v>66384.218586145274</v>
      </c>
      <c r="K12" s="51">
        <f>J12*(1+Assumptions!J36+Assumptions!J38)</f>
        <v>69083.994163460302</v>
      </c>
      <c r="L12" s="51">
        <f>K12*(1+Assumptions!K36+Assumptions!K38)</f>
        <v>71893.566742579438</v>
      </c>
      <c r="M12" s="51">
        <f>L12*(1+Assumptions!L36+Assumptions!L38)</f>
        <v>74817.401650808562</v>
      </c>
      <c r="O12" s="191"/>
    </row>
    <row r="13" spans="1:15" x14ac:dyDescent="0.25">
      <c r="A13" s="6" t="s">
        <v>403</v>
      </c>
      <c r="B13" s="6" t="s">
        <v>589</v>
      </c>
      <c r="C13" s="51">
        <f>SUMIF(TB!$A:$A,A13,TB!$D:$D)</f>
        <v>4260335</v>
      </c>
      <c r="D13" s="51">
        <f>C13*(1+Assumptions!C36+Assumptions!C38)</f>
        <v>4433598.2940350818</v>
      </c>
      <c r="E13" s="51">
        <f>D13*(1+Assumptions!D36+Assumptions!D38)</f>
        <v>4613908.0219914131</v>
      </c>
      <c r="F13" s="51">
        <f>E13*(1+Assumptions!E36+Assumptions!E38)</f>
        <v>4801550.7548434353</v>
      </c>
      <c r="G13" s="51">
        <f>F13*(1+Assumptions!F36+Assumptions!F38)</f>
        <v>4996824.7181023825</v>
      </c>
      <c r="H13" s="51">
        <f>G13*(1+Assumptions!G36+Assumptions!G38)</f>
        <v>5200040.2657938991</v>
      </c>
      <c r="I13" s="51">
        <f>H13*(1+Assumptions!H36+Assumptions!H38)</f>
        <v>5411520.3737118244</v>
      </c>
      <c r="J13" s="51">
        <f>I13*(1+Assumptions!I36+Assumptions!I38)</f>
        <v>5631601.1527320817</v>
      </c>
      <c r="K13" s="51">
        <f>J13*(1+Assumptions!J36+Assumptions!J38)</f>
        <v>5860632.3830025</v>
      </c>
      <c r="L13" s="51">
        <f>K13*(1+Assumptions!K36+Assumptions!K38)</f>
        <v>6098978.0698575675</v>
      </c>
      <c r="M13" s="51">
        <f>L13*(1+Assumptions!L36+Assumptions!L38)</f>
        <v>6347017.0223416444</v>
      </c>
      <c r="O13" s="191"/>
    </row>
    <row r="14" spans="1:15" x14ac:dyDescent="0.25">
      <c r="A14" s="6" t="s">
        <v>400</v>
      </c>
      <c r="B14" s="6" t="s">
        <v>590</v>
      </c>
      <c r="C14" s="51">
        <f>Salaries!B17</f>
        <v>3999829</v>
      </c>
      <c r="D14" s="51">
        <f>Salaries!C17</f>
        <v>4212922.7511799522</v>
      </c>
      <c r="E14" s="51">
        <f>Salaries!D17</f>
        <v>4384257.8394734263</v>
      </c>
      <c r="F14" s="51">
        <f>Salaries!E17</f>
        <v>4562560.9436110817</v>
      </c>
      <c r="G14" s="51">
        <f>Salaries!F17</f>
        <v>4998016.2583026886</v>
      </c>
      <c r="H14" s="51">
        <f>Salaries!G17</f>
        <v>5461344.2779004285</v>
      </c>
      <c r="I14" s="51">
        <f>Salaries!H17</f>
        <v>5954091.8822226208</v>
      </c>
      <c r="J14" s="51">
        <f>Salaries!I17</f>
        <v>6477885.6705960911</v>
      </c>
      <c r="K14" s="51">
        <f>Salaries!J17</f>
        <v>7034435.8875903776</v>
      </c>
      <c r="L14" s="51">
        <f>Salaries!K17</f>
        <v>7320518.9147613645</v>
      </c>
      <c r="M14" s="51">
        <f>Salaries!L17</f>
        <v>7618236.6344284033</v>
      </c>
      <c r="O14" s="191"/>
    </row>
    <row r="15" spans="1:15" x14ac:dyDescent="0.25">
      <c r="A15" s="6" t="s">
        <v>401</v>
      </c>
      <c r="B15" s="6" t="s">
        <v>591</v>
      </c>
      <c r="C15" s="51">
        <f>Salaries!B19</f>
        <v>1334626.6027133658</v>
      </c>
      <c r="D15" s="51">
        <f>Salaries!C19</f>
        <v>1367992.2677811999</v>
      </c>
      <c r="E15" s="51">
        <f>Salaries!D19</f>
        <v>1402192.0744757298</v>
      </c>
      <c r="F15" s="51">
        <f>Salaries!E19</f>
        <v>1437246.876337623</v>
      </c>
      <c r="G15" s="51">
        <f>Salaries!F19</f>
        <v>1473178.0482460635</v>
      </c>
      <c r="H15" s="51">
        <f>Salaries!G19</f>
        <v>1510007.4994522149</v>
      </c>
      <c r="I15" s="51">
        <f>Salaries!H19</f>
        <v>1547757.6869385201</v>
      </c>
      <c r="J15" s="51">
        <f>Salaries!I19</f>
        <v>1586451.6291119829</v>
      </c>
      <c r="K15" s="51">
        <f>Salaries!J19</f>
        <v>1626112.9198397824</v>
      </c>
      <c r="L15" s="51">
        <f>Salaries!K19</f>
        <v>1666765.7428357769</v>
      </c>
      <c r="M15" s="51">
        <f>Salaries!L19</f>
        <v>1708434.8864066713</v>
      </c>
      <c r="O15" s="191"/>
    </row>
    <row r="16" spans="1:15" x14ac:dyDescent="0.25">
      <c r="A16" s="6" t="s">
        <v>402</v>
      </c>
      <c r="B16" s="6" t="s">
        <v>592</v>
      </c>
      <c r="C16" s="51">
        <f>SUMIF(TB!$A:$A,A16,TB!$D:$D)</f>
        <v>850000</v>
      </c>
      <c r="D16" s="51">
        <f>C16*(1+Assumptions!C48+Assumptions!C38)</f>
        <v>884568.59611505189</v>
      </c>
      <c r="E16" s="51">
        <f>D16*(1+Assumptions!D48+Assumptions!D38)</f>
        <v>920543.06027406326</v>
      </c>
      <c r="F16" s="51">
        <f>E16*(1+Assumptions!E48+Assumptions!E38)</f>
        <v>957980.56763539033</v>
      </c>
      <c r="G16" s="51">
        <f>F16*(1+Assumptions!F48+Assumptions!F38)</f>
        <v>996940.61861027963</v>
      </c>
      <c r="H16" s="51">
        <f>G16*(1+Assumptions!G48+Assumptions!G38)</f>
        <v>1037485.1334284311</v>
      </c>
      <c r="I16" s="51">
        <f>H16*(1+Assumptions!H48+Assumptions!H38)</f>
        <v>1079678.5505494408</v>
      </c>
      <c r="J16" s="51">
        <f>I16*(1+Assumptions!I48+Assumptions!I38)</f>
        <v>1123587.9290765328</v>
      </c>
      <c r="K16" s="51">
        <f>J16*(1+Assumptions!J48+Assumptions!J38)</f>
        <v>1169283.0553353496</v>
      </c>
      <c r="L16" s="51">
        <f>K16*(1+Assumptions!K48+Assumptions!K38)</f>
        <v>1216836.5537871867</v>
      </c>
      <c r="M16" s="51">
        <f>L16*(1+Assumptions!L48+Assumptions!L38)</f>
        <v>1266324.0024529526</v>
      </c>
      <c r="O16" s="191"/>
    </row>
    <row r="17" spans="1:15" x14ac:dyDescent="0.25">
      <c r="A17" s="6" t="s">
        <v>406</v>
      </c>
      <c r="B17" s="6" t="s">
        <v>593</v>
      </c>
      <c r="C17" s="51">
        <f>SUMIF(TB!$A:$A,A17,TB!$D:$D)</f>
        <v>480000</v>
      </c>
      <c r="D17" s="51">
        <f>C17*(1+Assumptions!C36+Assumptions!C38)</f>
        <v>499521.08957085281</v>
      </c>
      <c r="E17" s="51">
        <f>D17*(1+Assumptions!D36+Assumptions!D38)</f>
        <v>519836.0810959416</v>
      </c>
      <c r="F17" s="51">
        <f>E17*(1+Assumptions!E36+Assumptions!E38)</f>
        <v>540977.26172351453</v>
      </c>
      <c r="G17" s="51">
        <f>F17*(1+Assumptions!F36+Assumptions!F38)</f>
        <v>562978.23168580502</v>
      </c>
      <c r="H17" s="51">
        <f>G17*(1+Assumptions!G36+Assumptions!G38)</f>
        <v>585873.95770076115</v>
      </c>
      <c r="I17" s="51">
        <f>H17*(1+Assumptions!H36+Assumptions!H38)</f>
        <v>609700.82854556653</v>
      </c>
      <c r="J17" s="51">
        <f>I17*(1+Assumptions!I36+Assumptions!I38)</f>
        <v>634496.71289027738</v>
      </c>
      <c r="K17" s="51">
        <f>J17*(1+Assumptions!J36+Assumptions!J38)</f>
        <v>660301.01948349155</v>
      </c>
      <c r="L17" s="51">
        <f>K17*(1+Assumptions!K36+Assumptions!K38)</f>
        <v>687154.75978570548</v>
      </c>
      <c r="M17" s="51">
        <f>L17*(1+Assumptions!L36+Assumptions!L38)</f>
        <v>715100.61314990255</v>
      </c>
      <c r="O17" s="191"/>
    </row>
    <row r="18" spans="1:15" x14ac:dyDescent="0.25">
      <c r="A18" s="6" t="s">
        <v>404</v>
      </c>
      <c r="B18" s="6" t="s">
        <v>594</v>
      </c>
      <c r="C18" s="51">
        <f>SUMIF(TB!$A:$A,A18,TB!$D:$D)</f>
        <v>705190</v>
      </c>
      <c r="D18" s="51">
        <f>C18*(1+Assumptions!C36+Assumptions!C38)</f>
        <v>733869.32740514528</v>
      </c>
      <c r="E18" s="51">
        <f>D18*(1+Assumptions!D36+Assumptions!D38)</f>
        <v>763715.01255843148</v>
      </c>
      <c r="F18" s="51">
        <f>E18*(1+Assumptions!E36+Assumptions!E38)</f>
        <v>794774.48998917756</v>
      </c>
      <c r="G18" s="51">
        <f>F18*(1+Assumptions!F36+Assumptions!F38)</f>
        <v>827097.12333856837</v>
      </c>
      <c r="H18" s="51">
        <f>G18*(1+Assumptions!G36+Assumptions!G38)</f>
        <v>860734.28381458274</v>
      </c>
      <c r="I18" s="51">
        <f>H18*(1+Assumptions!H36+Assumptions!H38)</f>
        <v>895739.43183760007</v>
      </c>
      <c r="J18" s="51">
        <f>I18*(1+Assumptions!I36+Assumptions!I38)</f>
        <v>932168.20200644713</v>
      </c>
      <c r="K18" s="51">
        <f>J18*(1+Assumptions!J36+Assumptions!J38)</f>
        <v>970078.49151992355</v>
      </c>
      <c r="L18" s="51">
        <f>K18*(1+Assumptions!K36+Assumptions!K38)</f>
        <v>1009530.5521943365</v>
      </c>
      <c r="M18" s="51">
        <f>L18*(1+Assumptions!L36+Assumptions!L38)</f>
        <v>1050587.086223291</v>
      </c>
      <c r="O18" s="191"/>
    </row>
    <row r="19" spans="1:15" x14ac:dyDescent="0.25">
      <c r="A19" s="6" t="s">
        <v>407</v>
      </c>
      <c r="B19" s="6" t="s">
        <v>522</v>
      </c>
      <c r="C19" s="51">
        <f>SUMIF(TB!$A:$A,A19,TB!$D:$D)</f>
        <v>326000</v>
      </c>
      <c r="D19" s="51">
        <f>C19*(1+Assumptions!C36+Assumptions!C38)</f>
        <v>339258.07333353756</v>
      </c>
      <c r="E19" s="51">
        <f>D19*(1+Assumptions!D36+Assumptions!D38)</f>
        <v>353055.33841099369</v>
      </c>
      <c r="F19" s="51">
        <f>E19*(1+Assumptions!E36+Assumptions!E38)</f>
        <v>367413.7235872203</v>
      </c>
      <c r="G19" s="51">
        <f>F19*(1+Assumptions!F36+Assumptions!F38)</f>
        <v>382356.04901994258</v>
      </c>
      <c r="H19" s="51">
        <f>G19*(1+Assumptions!G36+Assumptions!G38)</f>
        <v>397906.06293843361</v>
      </c>
      <c r="I19" s="51">
        <f>H19*(1+Assumptions!H36+Assumptions!H38)</f>
        <v>414088.47938719729</v>
      </c>
      <c r="J19" s="51">
        <f>I19*(1+Assumptions!I36+Assumptions!I38)</f>
        <v>430929.01750464673</v>
      </c>
      <c r="K19" s="51">
        <f>J19*(1+Assumptions!J36+Assumptions!J38)</f>
        <v>448454.44239920471</v>
      </c>
      <c r="L19" s="51">
        <f>K19*(1+Assumptions!K36+Assumptions!K38)</f>
        <v>466692.60768779163</v>
      </c>
      <c r="M19" s="51">
        <f>L19*(1+Assumptions!L36+Assumptions!L38)</f>
        <v>485672.49976430886</v>
      </c>
      <c r="O19" s="191"/>
    </row>
    <row r="20" spans="1:15" x14ac:dyDescent="0.25">
      <c r="A20" s="50" t="s">
        <v>81</v>
      </c>
      <c r="B20" s="52" t="s">
        <v>82</v>
      </c>
      <c r="C20" s="53">
        <f>SUMIF('Manual Adjust'!$A:$A,$A20,'Manual Adjust'!C:C)</f>
        <v>0</v>
      </c>
      <c r="D20" s="53">
        <f>SUMIF('Manual Adjust'!$A:$A,$A20,'Manual Adjust'!D:D)</f>
        <v>0</v>
      </c>
      <c r="E20" s="53">
        <f>SUMIF('Manual Adjust'!$A:$A,$A20,'Manual Adjust'!E:E)</f>
        <v>0</v>
      </c>
      <c r="F20" s="53">
        <f>SUMIF('Manual Adjust'!$A:$A,$A20,'Manual Adjust'!F:F)</f>
        <v>0</v>
      </c>
      <c r="G20" s="53">
        <f>SUMIF('Manual Adjust'!$A:$A,$A20,'Manual Adjust'!G:G)</f>
        <v>0</v>
      </c>
      <c r="H20" s="53">
        <f>SUMIF('Manual Adjust'!$A:$A,$A20,'Manual Adjust'!H:H)</f>
        <v>0</v>
      </c>
      <c r="I20" s="53">
        <f>SUMIF('Manual Adjust'!$A:$A,$A20,'Manual Adjust'!I:I)</f>
        <v>0</v>
      </c>
      <c r="J20" s="53">
        <f>SUMIF('Manual Adjust'!$A:$A,$A20,'Manual Adjust'!J:J)</f>
        <v>0</v>
      </c>
      <c r="K20" s="53">
        <f>SUMIF('Manual Adjust'!$A:$A,$A20,'Manual Adjust'!K:K)</f>
        <v>0</v>
      </c>
      <c r="L20" s="53">
        <f>SUMIF('Manual Adjust'!$A:$A,$A20,'Manual Adjust'!L:L)</f>
        <v>0</v>
      </c>
      <c r="M20" s="53">
        <f>SUMIF('Manual Adjust'!$A:$A,$A20,'Manual Adjust'!M:M)</f>
        <v>0</v>
      </c>
      <c r="O20" s="191"/>
    </row>
    <row r="21" spans="1:15" ht="15.75" thickBot="1" x14ac:dyDescent="0.3">
      <c r="A21" s="6"/>
      <c r="B21" s="55" t="s">
        <v>586</v>
      </c>
      <c r="C21" s="56">
        <f>SUBTOTAL(9,C11:C20)</f>
        <v>62033885.766044669</v>
      </c>
      <c r="D21" s="56">
        <f t="shared" ref="D21:M21" si="1">SUBTOTAL(9,D11:D20)</f>
        <v>64355997.331255168</v>
      </c>
      <c r="E21" s="56">
        <f t="shared" si="1"/>
        <v>66715788.442652471</v>
      </c>
      <c r="F21" s="56">
        <f t="shared" si="1"/>
        <v>69165055.916526094</v>
      </c>
      <c r="G21" s="56">
        <f t="shared" si="1"/>
        <v>71957174.841981485</v>
      </c>
      <c r="H21" s="56">
        <f t="shared" si="1"/>
        <v>74866182.169479236</v>
      </c>
      <c r="I21" s="56">
        <f t="shared" si="1"/>
        <v>77897071.794142574</v>
      </c>
      <c r="J21" s="56">
        <f t="shared" si="1"/>
        <v>81055053.087648869</v>
      </c>
      <c r="K21" s="56">
        <f t="shared" si="1"/>
        <v>84345560.230248854</v>
      </c>
      <c r="L21" s="56">
        <f t="shared" si="1"/>
        <v>87469240.325627342</v>
      </c>
      <c r="M21" s="56">
        <f t="shared" si="1"/>
        <v>90712218.613365591</v>
      </c>
      <c r="O21" s="191"/>
    </row>
    <row r="22" spans="1:15" ht="15.75" thickTop="1" x14ac:dyDescent="0.25">
      <c r="O22" s="191"/>
    </row>
    <row r="23" spans="1:15" x14ac:dyDescent="0.25">
      <c r="O23" s="191"/>
    </row>
    <row r="24" spans="1:15" x14ac:dyDescent="0.25">
      <c r="B24" s="49" t="s">
        <v>595</v>
      </c>
      <c r="C24" s="51">
        <v>0</v>
      </c>
      <c r="D24" s="51">
        <v>1350000</v>
      </c>
      <c r="E24" s="51">
        <v>1287437.9117275202</v>
      </c>
      <c r="F24" s="51">
        <v>1221747.7190414162</v>
      </c>
      <c r="G24" s="51">
        <v>1152773.0167210072</v>
      </c>
      <c r="H24" s="51">
        <v>1080349.5792845774</v>
      </c>
      <c r="I24" s="51">
        <v>1004304.9699763265</v>
      </c>
      <c r="J24" s="51">
        <v>924458.13020266301</v>
      </c>
      <c r="K24" s="51">
        <v>840618.94844031613</v>
      </c>
      <c r="L24" s="51">
        <v>752587.80758985213</v>
      </c>
      <c r="M24" s="51">
        <v>660155.10969686473</v>
      </c>
      <c r="O24" s="191"/>
    </row>
    <row r="25" spans="1:15" x14ac:dyDescent="0.25">
      <c r="O25" s="191"/>
    </row>
    <row r="26" spans="1:15" x14ac:dyDescent="0.25">
      <c r="O26" s="191"/>
    </row>
    <row r="27" spans="1:15" x14ac:dyDescent="0.25">
      <c r="A27" s="6"/>
      <c r="B27" s="49" t="s">
        <v>596</v>
      </c>
      <c r="O27" s="191"/>
    </row>
    <row r="28" spans="1:15" x14ac:dyDescent="0.25">
      <c r="A28" s="6"/>
      <c r="B28" s="6"/>
      <c r="O28" s="191"/>
    </row>
    <row r="29" spans="1:15" x14ac:dyDescent="0.25">
      <c r="A29" s="6" t="s">
        <v>408</v>
      </c>
      <c r="B29" s="6" t="s">
        <v>738</v>
      </c>
      <c r="C29" s="51">
        <f>SUMIF(TB!$A:$A,A29,TB!$D:$D)</f>
        <v>7055892</v>
      </c>
      <c r="D29" s="51">
        <f>C29*(1+Assumptions!C50+Assumptions!C38)</f>
        <v>7232289.3000000007</v>
      </c>
      <c r="E29" s="51">
        <f>D29*(1+Assumptions!D50+Assumptions!D38)</f>
        <v>7413096.5325000016</v>
      </c>
      <c r="F29" s="51">
        <f>E29*(1+Assumptions!E50+Assumptions!E38)</f>
        <v>7598423.9458125029</v>
      </c>
      <c r="G29" s="51">
        <f>F29*(1+Assumptions!F50+Assumptions!F38)</f>
        <v>7788384.5444578165</v>
      </c>
      <c r="H29" s="51">
        <f>G29*(1+Assumptions!G50+Assumptions!G38)</f>
        <v>7983094.1580692632</v>
      </c>
      <c r="I29" s="51">
        <f>H29*(1+Assumptions!H50+Assumptions!H38)</f>
        <v>8182671.5120209958</v>
      </c>
      <c r="J29" s="51">
        <f>I29*(1+Assumptions!I50+Assumptions!I38)</f>
        <v>8387238.2998215221</v>
      </c>
      <c r="K29" s="51">
        <f>J29*(1+Assumptions!J50+Assumptions!J38)</f>
        <v>8596919.2573170606</v>
      </c>
      <c r="L29" s="51">
        <f>K29*(1+Assumptions!K50+Assumptions!K38)</f>
        <v>8811842.2387499884</v>
      </c>
      <c r="M29" s="51">
        <f>L29*(1+Assumptions!L50+Assumptions!L38)</f>
        <v>9032138.2947187386</v>
      </c>
      <c r="O29" s="191"/>
    </row>
    <row r="30" spans="1:15" x14ac:dyDescent="0.25">
      <c r="A30" s="6"/>
      <c r="B30" s="6" t="s">
        <v>739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O30" s="191"/>
    </row>
    <row r="31" spans="1:15" x14ac:dyDescent="0.25">
      <c r="A31" s="6" t="s">
        <v>410</v>
      </c>
      <c r="B31" s="6" t="s">
        <v>740</v>
      </c>
      <c r="C31" s="51">
        <f>SUMIF(TB!$A:$A,A31,TB!$D:$D)</f>
        <v>17579917</v>
      </c>
      <c r="D31" s="51">
        <f>C31*(1+Assumptions!C9)</f>
        <v>18019414.924999997</v>
      </c>
      <c r="E31" s="51">
        <f>D31*(1+Assumptions!D9)</f>
        <v>18469900.298124995</v>
      </c>
      <c r="F31" s="51">
        <f>E31*(1+Assumptions!E9)</f>
        <v>18931647.80557812</v>
      </c>
      <c r="G31" s="51">
        <f>F31*(1+Assumptions!F9)</f>
        <v>19404939.000717573</v>
      </c>
      <c r="H31" s="51">
        <f>G31*(1+Assumptions!G9)</f>
        <v>19890062.475735512</v>
      </c>
      <c r="I31" s="51">
        <f>H31*(1+Assumptions!H9)</f>
        <v>20387314.037628897</v>
      </c>
      <c r="J31" s="51">
        <f>I31*(1+Assumptions!I9)</f>
        <v>20896996.888569616</v>
      </c>
      <c r="K31" s="51">
        <f>J31*(1+Assumptions!J9)</f>
        <v>21419421.810783856</v>
      </c>
      <c r="L31" s="51">
        <f>K31*(1+Assumptions!K9)</f>
        <v>21954907.356053449</v>
      </c>
      <c r="M31" s="51">
        <f>L31*(1+Assumptions!L9)</f>
        <v>22503780.039954785</v>
      </c>
      <c r="O31" s="191"/>
    </row>
    <row r="32" spans="1:15" x14ac:dyDescent="0.25">
      <c r="A32" s="6" t="s">
        <v>409</v>
      </c>
      <c r="B32" s="6" t="s">
        <v>741</v>
      </c>
      <c r="C32" s="51">
        <f>SUMIF(TB!$A:$A,A32,TB!$D:$D)</f>
        <v>10758072</v>
      </c>
      <c r="D32" s="51">
        <f>C32*(1+Assumptions!C50+Assumptions!C38)</f>
        <v>11027023.800000001</v>
      </c>
      <c r="E32" s="51">
        <f>D32*(1+Assumptions!D50+Assumptions!D38)</f>
        <v>11302699.395000001</v>
      </c>
      <c r="F32" s="51">
        <f>E32*(1+Assumptions!E50+Assumptions!E38)</f>
        <v>11585266.879875002</v>
      </c>
      <c r="G32" s="51">
        <f>F32*(1+Assumptions!F50+Assumptions!F38)</f>
        <v>11874898.551871879</v>
      </c>
      <c r="H32" s="51">
        <f>G32*(1+Assumptions!G50+Assumptions!G38)</f>
        <v>12171771.015668677</v>
      </c>
      <c r="I32" s="51">
        <f>H32*(1+Assumptions!H50+Assumptions!H38)</f>
        <v>12476065.291060396</v>
      </c>
      <c r="J32" s="51">
        <f>I32*(1+Assumptions!I50+Assumptions!I38)</f>
        <v>12787966.923336906</v>
      </c>
      <c r="K32" s="51">
        <f>J32*(1+Assumptions!J50+Assumptions!J38)</f>
        <v>13107666.096420331</v>
      </c>
      <c r="L32" s="51">
        <f>K32*(1+Assumptions!K50+Assumptions!K38)</f>
        <v>13435357.748830842</v>
      </c>
      <c r="M32" s="51">
        <f>L32*(1+Assumptions!L50+Assumptions!L38)</f>
        <v>13771241.692551615</v>
      </c>
      <c r="O32" s="191"/>
    </row>
    <row r="33" spans="1:15" x14ac:dyDescent="0.25">
      <c r="A33" s="6" t="s">
        <v>420</v>
      </c>
      <c r="B33" s="6" t="s">
        <v>742</v>
      </c>
      <c r="C33" s="51">
        <f>SUMIF(TB!$A:$A,A33,TB!$D:$D)</f>
        <v>77000</v>
      </c>
      <c r="D33" s="51">
        <f>C33*(1+Assumptions!C9)</f>
        <v>78925</v>
      </c>
      <c r="E33" s="51">
        <f>D33*(1+Assumptions!D9)</f>
        <v>80898.125</v>
      </c>
      <c r="F33" s="51">
        <f>E33*(1+Assumptions!E9)</f>
        <v>82920.578125</v>
      </c>
      <c r="G33" s="51">
        <f>F33*(1+Assumptions!F9)</f>
        <v>84993.592578124997</v>
      </c>
      <c r="H33" s="51">
        <f>G33*(1+Assumptions!G9)</f>
        <v>87118.432392578121</v>
      </c>
      <c r="I33" s="51">
        <f>H33*(1+Assumptions!H9)</f>
        <v>89296.393202392559</v>
      </c>
      <c r="J33" s="51">
        <f>I33*(1+Assumptions!I9)</f>
        <v>91528.803032452372</v>
      </c>
      <c r="K33" s="51">
        <f>J33*(1+Assumptions!J9)</f>
        <v>93817.023108263675</v>
      </c>
      <c r="L33" s="51">
        <f>K33*(1+Assumptions!K9)</f>
        <v>96162.448685970259</v>
      </c>
      <c r="M33" s="51">
        <f>L33*(1+Assumptions!L9)</f>
        <v>98566.509903119513</v>
      </c>
      <c r="O33" s="191"/>
    </row>
    <row r="34" spans="1:15" x14ac:dyDescent="0.25">
      <c r="A34" s="6" t="s">
        <v>430</v>
      </c>
      <c r="B34" s="6" t="s">
        <v>743</v>
      </c>
      <c r="C34" s="51">
        <f>SUMIF(TB!$A:$A,A34,TB!$D:$D)</f>
        <v>606000</v>
      </c>
      <c r="D34" s="51">
        <f>C34*(1+Assumptions!C50+Assumptions!C38)</f>
        <v>621150.00000000012</v>
      </c>
      <c r="E34" s="51">
        <f>D34*(1+Assumptions!D50+Assumptions!D38)</f>
        <v>636678.75000000023</v>
      </c>
      <c r="F34" s="51">
        <f>E34*(1+Assumptions!E50+Assumptions!E38)</f>
        <v>652595.71875000035</v>
      </c>
      <c r="G34" s="51">
        <f>F34*(1+Assumptions!F50+Assumptions!F38)</f>
        <v>668910.61171875044</v>
      </c>
      <c r="H34" s="51">
        <f>G34*(1+Assumptions!G50+Assumptions!G38)</f>
        <v>685633.37701171928</v>
      </c>
      <c r="I34" s="51">
        <f>H34*(1+Assumptions!H50+Assumptions!H38)</f>
        <v>702774.2114370123</v>
      </c>
      <c r="J34" s="51">
        <f>I34*(1+Assumptions!I50+Assumptions!I38)</f>
        <v>720343.56672293774</v>
      </c>
      <c r="K34" s="51">
        <f>J34*(1+Assumptions!J50+Assumptions!J38)</f>
        <v>738352.15589101124</v>
      </c>
      <c r="L34" s="51">
        <f>K34*(1+Assumptions!K50+Assumptions!K38)</f>
        <v>756810.95978828659</v>
      </c>
      <c r="M34" s="51">
        <f>L34*(1+Assumptions!L50+Assumptions!L38)</f>
        <v>775731.23378299386</v>
      </c>
      <c r="O34" s="191"/>
    </row>
    <row r="35" spans="1:15" x14ac:dyDescent="0.25">
      <c r="A35" s="6"/>
      <c r="B35" s="6" t="s">
        <v>744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O35" s="191"/>
    </row>
    <row r="36" spans="1:15" x14ac:dyDescent="0.25">
      <c r="A36" s="6" t="s">
        <v>597</v>
      </c>
      <c r="B36" s="6" t="s">
        <v>745</v>
      </c>
      <c r="C36" s="51">
        <f>SUMIF(TB!$A:$A,A36,TB!$D:$D)</f>
        <v>450000</v>
      </c>
      <c r="D36" s="51">
        <f>C36*(1+Assumptions!C50+Assumptions!C38)</f>
        <v>461250.00000000006</v>
      </c>
      <c r="E36" s="51">
        <f>D36*(1+Assumptions!D50+Assumptions!D38)</f>
        <v>472781.25000000012</v>
      </c>
      <c r="F36" s="51">
        <f>E36*(1+Assumptions!E50+Assumptions!E38)</f>
        <v>484600.78125000017</v>
      </c>
      <c r="G36" s="51">
        <f>F36*(1+Assumptions!F50+Assumptions!F38)</f>
        <v>496715.80078125023</v>
      </c>
      <c r="H36" s="51">
        <f>G36*(1+Assumptions!G50+Assumptions!G38)</f>
        <v>509133.69580078154</v>
      </c>
      <c r="I36" s="51">
        <f>H36*(1+Assumptions!H50+Assumptions!H38)</f>
        <v>521862.03819580114</v>
      </c>
      <c r="J36" s="51">
        <f>I36*(1+Assumptions!I50+Assumptions!I38)</f>
        <v>534908.58915069629</v>
      </c>
      <c r="K36" s="51">
        <f>J36*(1+Assumptions!J50+Assumptions!J38)</f>
        <v>548281.30387946381</v>
      </c>
      <c r="L36" s="51">
        <f>K36*(1+Assumptions!K50+Assumptions!K38)</f>
        <v>561988.33647645044</v>
      </c>
      <c r="M36" s="51">
        <f>L36*(1+Assumptions!L50+Assumptions!L38)</f>
        <v>576038.04488836182</v>
      </c>
      <c r="O36" s="191"/>
    </row>
    <row r="37" spans="1:15" x14ac:dyDescent="0.25">
      <c r="A37" s="6" t="s">
        <v>421</v>
      </c>
      <c r="B37" s="6" t="s">
        <v>746</v>
      </c>
      <c r="C37" s="51">
        <f>SUMIF(TB!$A:$A,A37,TB!$D:$D)</f>
        <v>160000</v>
      </c>
      <c r="D37" s="51">
        <f>C37*(1+Assumptions!C50+Assumptions!C38)</f>
        <v>164000.00000000003</v>
      </c>
      <c r="E37" s="51">
        <f>D37*(1+Assumptions!D50+Assumptions!D38)</f>
        <v>168100.00000000006</v>
      </c>
      <c r="F37" s="51">
        <f>E37*(1+Assumptions!E50+Assumptions!E38)</f>
        <v>172302.50000000009</v>
      </c>
      <c r="G37" s="51">
        <f>F37*(1+Assumptions!F50+Assumptions!F38)</f>
        <v>176610.06250000012</v>
      </c>
      <c r="H37" s="51">
        <f>G37*(1+Assumptions!G50+Assumptions!G38)</f>
        <v>181025.31406250014</v>
      </c>
      <c r="I37" s="51">
        <f>H37*(1+Assumptions!H50+Assumptions!H38)</f>
        <v>185550.94691406266</v>
      </c>
      <c r="J37" s="51">
        <f>I37*(1+Assumptions!I50+Assumptions!I38)</f>
        <v>190189.72058691425</v>
      </c>
      <c r="K37" s="51">
        <f>J37*(1+Assumptions!J50+Assumptions!J38)</f>
        <v>194944.46360158714</v>
      </c>
      <c r="L37" s="51">
        <f>K37*(1+Assumptions!K50+Assumptions!K38)</f>
        <v>199818.07519162685</v>
      </c>
      <c r="M37" s="51">
        <f>L37*(1+Assumptions!L50+Assumptions!L38)</f>
        <v>204813.52707141754</v>
      </c>
      <c r="O37" s="191"/>
    </row>
    <row r="38" spans="1:15" x14ac:dyDescent="0.25">
      <c r="A38" s="50" t="s">
        <v>83</v>
      </c>
      <c r="B38" s="52" t="s">
        <v>84</v>
      </c>
      <c r="C38" s="53">
        <f>SUMIF('Manual Adjust'!$A:$A,$A38,'Manual Adjust'!C:C)</f>
        <v>0</v>
      </c>
      <c r="D38" s="53">
        <f>SUMIF('Manual Adjust'!$A:$A,$A38,'Manual Adjust'!D:D)</f>
        <v>0</v>
      </c>
      <c r="E38" s="53">
        <f>SUMIF('Manual Adjust'!$A:$A,$A38,'Manual Adjust'!E:E)</f>
        <v>0</v>
      </c>
      <c r="F38" s="53">
        <f>SUMIF('Manual Adjust'!$A:$A,$A38,'Manual Adjust'!F:F)</f>
        <v>0</v>
      </c>
      <c r="G38" s="53">
        <f>SUMIF('Manual Adjust'!$A:$A,$A38,'Manual Adjust'!G:G)</f>
        <v>0</v>
      </c>
      <c r="H38" s="53">
        <f>SUMIF('Manual Adjust'!$A:$A,$A38,'Manual Adjust'!H:H)</f>
        <v>0</v>
      </c>
      <c r="I38" s="53">
        <f>SUMIF('Manual Adjust'!$A:$A,$A38,'Manual Adjust'!I:I)</f>
        <v>0</v>
      </c>
      <c r="J38" s="53">
        <f>SUMIF('Manual Adjust'!$A:$A,$A38,'Manual Adjust'!J:J)</f>
        <v>0</v>
      </c>
      <c r="K38" s="53">
        <f>SUMIF('Manual Adjust'!$A:$A,$A38,'Manual Adjust'!K:K)</f>
        <v>0</v>
      </c>
      <c r="L38" s="53">
        <f>SUMIF('Manual Adjust'!$A:$A,$A38,'Manual Adjust'!L:L)</f>
        <v>0</v>
      </c>
      <c r="M38" s="53">
        <f>SUMIF('Manual Adjust'!$A:$A,$A38,'Manual Adjust'!M:M)</f>
        <v>0</v>
      </c>
      <c r="O38" s="191"/>
    </row>
    <row r="39" spans="1:15" ht="15.75" thickBot="1" x14ac:dyDescent="0.3">
      <c r="A39" s="6"/>
      <c r="B39" s="55" t="s">
        <v>598</v>
      </c>
      <c r="C39" s="56">
        <f>SUBTOTAL(9,C29:C38)</f>
        <v>36686881</v>
      </c>
      <c r="D39" s="56">
        <f t="shared" ref="D39:L39" si="2">SUBTOTAL(9,D29:D38)</f>
        <v>37604053.024999999</v>
      </c>
      <c r="E39" s="56">
        <f t="shared" si="2"/>
        <v>38544154.350625001</v>
      </c>
      <c r="F39" s="56">
        <f t="shared" si="2"/>
        <v>39507758.209390625</v>
      </c>
      <c r="G39" s="56">
        <f t="shared" si="2"/>
        <v>40495452.164625399</v>
      </c>
      <c r="H39" s="56">
        <f t="shared" si="2"/>
        <v>41507838.468741022</v>
      </c>
      <c r="I39" s="56">
        <f t="shared" si="2"/>
        <v>42545534.430459559</v>
      </c>
      <c r="J39" s="56">
        <f t="shared" si="2"/>
        <v>43609172.791221038</v>
      </c>
      <c r="K39" s="56">
        <f t="shared" si="2"/>
        <v>44699402.111001574</v>
      </c>
      <c r="L39" s="56">
        <f t="shared" si="2"/>
        <v>45816887.163776614</v>
      </c>
      <c r="M39" s="56">
        <f>SUBTOTAL(9,M29:M38)</f>
        <v>46962309.342871025</v>
      </c>
      <c r="O39" s="191"/>
    </row>
    <row r="40" spans="1:15" ht="15.75" thickTop="1" x14ac:dyDescent="0.25">
      <c r="O40" s="191"/>
    </row>
    <row r="41" spans="1:15" x14ac:dyDescent="0.25">
      <c r="O41" s="191"/>
    </row>
    <row r="42" spans="1:15" x14ac:dyDescent="0.25">
      <c r="B42" s="49" t="s">
        <v>599</v>
      </c>
      <c r="O42" s="191"/>
    </row>
    <row r="43" spans="1:15" x14ac:dyDescent="0.25">
      <c r="B43" s="6"/>
      <c r="O43" s="191"/>
    </row>
    <row r="44" spans="1:15" x14ac:dyDescent="0.25">
      <c r="B44" s="6" t="s">
        <v>600</v>
      </c>
      <c r="C44" s="51">
        <f>-'Note 9'!C32</f>
        <v>3320500</v>
      </c>
      <c r="D44" s="51">
        <f>-'Note 9'!D32</f>
        <v>2523728.9776000003</v>
      </c>
      <c r="E44" s="51">
        <f>-'Note 9'!E32</f>
        <v>2370016.1082000001</v>
      </c>
      <c r="F44" s="51">
        <f>-'Note 9'!F32</f>
        <v>2595360.8388</v>
      </c>
      <c r="G44" s="51">
        <f>-'Note 9'!G32</f>
        <v>2648508.9693999998</v>
      </c>
      <c r="H44" s="51">
        <f>-'Note 9'!H32</f>
        <v>2638147.5999999996</v>
      </c>
      <c r="I44" s="51">
        <f>-'Note 9'!I32</f>
        <v>2859316.3305999991</v>
      </c>
      <c r="J44" s="51">
        <f>-'Note 9'!J32</f>
        <v>2788570.9611999989</v>
      </c>
      <c r="K44" s="51">
        <f>-'Note 9'!K32</f>
        <v>2927669.991799999</v>
      </c>
      <c r="L44" s="51">
        <f>-'Note 9'!L32</f>
        <v>3280629.7223999985</v>
      </c>
      <c r="M44" s="51">
        <f>-'Note 9'!M32</f>
        <v>3239221.6529999976</v>
      </c>
      <c r="O44" s="191"/>
    </row>
    <row r="45" spans="1:15" x14ac:dyDescent="0.25">
      <c r="B45" s="6" t="s">
        <v>601</v>
      </c>
      <c r="C45" s="51">
        <f>-'Note 9'!C46</f>
        <v>1393512</v>
      </c>
      <c r="D45" s="51">
        <f>-'Note 9'!D46</f>
        <v>1151633.351022</v>
      </c>
      <c r="E45" s="51">
        <f>-'Note 9'!E46</f>
        <v>1126340.7564639999</v>
      </c>
      <c r="F45" s="51">
        <f>-'Note 9'!F46</f>
        <v>1101048.1619059998</v>
      </c>
      <c r="G45" s="51">
        <f>-'Note 9'!G46</f>
        <v>1075755.5673479997</v>
      </c>
      <c r="H45" s="51">
        <f>-'Note 9'!H46</f>
        <v>1050462.9727899996</v>
      </c>
      <c r="I45" s="51">
        <f>-'Note 9'!I46</f>
        <v>1009770.3782319996</v>
      </c>
      <c r="J45" s="51">
        <f>-'Note 9'!J46</f>
        <v>930577.7836739996</v>
      </c>
      <c r="K45" s="51">
        <f>-'Note 9'!K46</f>
        <v>889885.1891159995</v>
      </c>
      <c r="L45" s="51">
        <f>-'Note 9'!L46</f>
        <v>887692.59455799952</v>
      </c>
      <c r="M45" s="51">
        <f>-'Note 9'!M46</f>
        <v>923999.99999999942</v>
      </c>
      <c r="O45" s="191"/>
    </row>
    <row r="46" spans="1:15" x14ac:dyDescent="0.25">
      <c r="B46" s="6" t="s">
        <v>602</v>
      </c>
      <c r="C46" s="51">
        <f>-'Note 9'!C60</f>
        <v>274700</v>
      </c>
      <c r="D46" s="51">
        <f>-'Note 9'!D60</f>
        <v>269514.00750000001</v>
      </c>
      <c r="E46" s="51">
        <f>-'Note 9'!E60</f>
        <v>272901.34000000003</v>
      </c>
      <c r="F46" s="51">
        <f>-'Note 9'!F60</f>
        <v>276288.67250000004</v>
      </c>
      <c r="G46" s="51">
        <f>-'Note 9'!G60</f>
        <v>279676.00500000006</v>
      </c>
      <c r="H46" s="51">
        <f>-'Note 9'!H60</f>
        <v>283063.33750000008</v>
      </c>
      <c r="I46" s="51">
        <f>-'Note 9'!I60</f>
        <v>286450.6700000001</v>
      </c>
      <c r="J46" s="51">
        <f>-'Note 9'!J60</f>
        <v>289838.00250000012</v>
      </c>
      <c r="K46" s="51">
        <f>-'Note 9'!K60</f>
        <v>293225.33500000014</v>
      </c>
      <c r="L46" s="51">
        <f>-'Note 9'!L60</f>
        <v>296612.66750000016</v>
      </c>
      <c r="M46" s="51">
        <f>-'Note 9'!M60</f>
        <v>300000.00000000017</v>
      </c>
      <c r="O46" s="191"/>
    </row>
    <row r="47" spans="1:15" x14ac:dyDescent="0.25">
      <c r="B47" s="6" t="s">
        <v>603</v>
      </c>
      <c r="C47" s="51">
        <f>-'Note 9'!C107</f>
        <v>276901</v>
      </c>
      <c r="D47" s="51">
        <f>-'Note 9'!D107</f>
        <v>237281.79035999993</v>
      </c>
      <c r="E47" s="51">
        <f>-'Note 9'!E107</f>
        <v>238320.68402759798</v>
      </c>
      <c r="F47" s="51">
        <f>-'Note 9'!F107</f>
        <v>240022.89585086587</v>
      </c>
      <c r="G47" s="51">
        <f>-'Note 9'!G107</f>
        <v>242992.24871995431</v>
      </c>
      <c r="H47" s="51">
        <f>-'Note 9'!H107</f>
        <v>246297.48009039354</v>
      </c>
      <c r="I47" s="51">
        <f>-'Note 9'!I107</f>
        <v>249039.65210310544</v>
      </c>
      <c r="J47" s="51">
        <f>-'Note 9'!J107</f>
        <v>252419.85756406689</v>
      </c>
      <c r="K47" s="51">
        <f>-'Note 9'!K107</f>
        <v>256439.22081335029</v>
      </c>
      <c r="L47" s="51">
        <f>-'Note 9'!L107</f>
        <v>259898.89861844276</v>
      </c>
      <c r="M47" s="51">
        <f>-'Note 9'!M107</f>
        <v>262800.08109251421</v>
      </c>
      <c r="O47" s="191"/>
    </row>
    <row r="48" spans="1:15" x14ac:dyDescent="0.25">
      <c r="B48" s="6" t="s">
        <v>604</v>
      </c>
      <c r="C48" s="51">
        <f>-'Note 9'!C121</f>
        <v>3436012</v>
      </c>
      <c r="D48" s="51">
        <f>-'Note 9'!D121</f>
        <v>3865692.2882522494</v>
      </c>
      <c r="E48" s="51">
        <f>-'Note 9'!E121</f>
        <v>4403741.5813326277</v>
      </c>
      <c r="F48" s="51">
        <f>-'Note 9'!F121</f>
        <v>4592622.245178123</v>
      </c>
      <c r="G48" s="51">
        <f>-'Note 9'!G121</f>
        <v>4796511.983266077</v>
      </c>
      <c r="H48" s="51">
        <f>-'Note 9'!H121</f>
        <v>5005620.4636023538</v>
      </c>
      <c r="I48" s="51">
        <f>-'Note 9'!I121</f>
        <v>5222215.3251379719</v>
      </c>
      <c r="J48" s="51">
        <f>-'Note 9'!J121</f>
        <v>5447586.7887271512</v>
      </c>
      <c r="K48" s="51">
        <f>-'Note 9'!K121</f>
        <v>5675638.2241062121</v>
      </c>
      <c r="L48" s="51">
        <f>-'Note 9'!L121</f>
        <v>5904603.9328983296</v>
      </c>
      <c r="M48" s="51">
        <f>-'Note 9'!M121</f>
        <v>6141831.8087541861</v>
      </c>
      <c r="O48" s="191"/>
    </row>
    <row r="49" spans="1:15" x14ac:dyDescent="0.25">
      <c r="B49" s="6" t="s">
        <v>605</v>
      </c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O49" s="191"/>
    </row>
    <row r="50" spans="1:15" x14ac:dyDescent="0.25">
      <c r="B50" s="6" t="s">
        <v>606</v>
      </c>
      <c r="C50" s="51">
        <f>-'Note 9'!C137</f>
        <v>8754502</v>
      </c>
      <c r="D50" s="51">
        <f>-'Note 9'!D137</f>
        <v>8148679.8015997801</v>
      </c>
      <c r="E50" s="51">
        <f>-'Note 9'!E137</f>
        <v>8443660.9444576129</v>
      </c>
      <c r="F50" s="51">
        <f>-'Note 9'!F137</f>
        <v>8750459.9723057114</v>
      </c>
      <c r="G50" s="51">
        <f>-'Note 9'!G137</f>
        <v>9049185.0380287319</v>
      </c>
      <c r="H50" s="51">
        <f>-'Note 9'!H137</f>
        <v>9357384.4326761235</v>
      </c>
      <c r="I50" s="51">
        <f>-'Note 9'!I137</f>
        <v>9675352.1327883229</v>
      </c>
      <c r="J50" s="51">
        <f>-'Note 9'!J137</f>
        <v>9999751.0656029489</v>
      </c>
      <c r="K50" s="51">
        <f>-'Note 9'!K137</f>
        <v>10334331.040082606</v>
      </c>
      <c r="L50" s="51">
        <f>-'Note 9'!L137</f>
        <v>10679294.125577589</v>
      </c>
      <c r="M50" s="51">
        <f>-'Note 9'!M137</f>
        <v>11034957.027058301</v>
      </c>
      <c r="O50" s="191"/>
    </row>
    <row r="51" spans="1:15" x14ac:dyDescent="0.25">
      <c r="B51" s="6" t="s">
        <v>607</v>
      </c>
      <c r="C51" s="51">
        <f>-'Note 9'!C153</f>
        <v>1521941</v>
      </c>
      <c r="D51" s="51">
        <f>-'Note 9'!D153</f>
        <v>1466809.5624884013</v>
      </c>
      <c r="E51" s="51">
        <f>-'Note 9'!E153</f>
        <v>1551157.2335933899</v>
      </c>
      <c r="F51" s="51">
        <f>-'Note 9'!F153</f>
        <v>1652165.4930189755</v>
      </c>
      <c r="G51" s="51">
        <f>-'Note 9'!G153</f>
        <v>1737062.4313848466</v>
      </c>
      <c r="H51" s="51">
        <f>-'Note 9'!H153</f>
        <v>1818750.1784995045</v>
      </c>
      <c r="I51" s="51">
        <f>-'Note 9'!I153</f>
        <v>1903415.1062296808</v>
      </c>
      <c r="J51" s="51">
        <f>-'Note 9'!J153</f>
        <v>1991159.0076579452</v>
      </c>
      <c r="K51" s="51">
        <f>-'Note 9'!K153</f>
        <v>2087287.0040742171</v>
      </c>
      <c r="L51" s="51">
        <f>-'Note 9'!L153</f>
        <v>2179557.650238737</v>
      </c>
      <c r="M51" s="51">
        <f>-'Note 9'!M153</f>
        <v>2274144.2928896914</v>
      </c>
      <c r="O51" s="191"/>
    </row>
    <row r="52" spans="1:15" x14ac:dyDescent="0.25">
      <c r="B52" s="6" t="s">
        <v>608</v>
      </c>
      <c r="C52" s="51">
        <f>-'Note 9'!C169</f>
        <v>2357212</v>
      </c>
      <c r="D52" s="51">
        <f>-'Note 9'!D169</f>
        <v>2683904.9161230205</v>
      </c>
      <c r="E52" s="51">
        <f>-'Note 9'!E169</f>
        <v>2766817.1059543164</v>
      </c>
      <c r="F52" s="51">
        <f>-'Note 9'!F169</f>
        <v>2852351.5174446562</v>
      </c>
      <c r="G52" s="51">
        <f>-'Note 9'!G169</f>
        <v>2942306.8776719254</v>
      </c>
      <c r="H52" s="51">
        <f>-'Note 9'!H169</f>
        <v>3036522.4426509719</v>
      </c>
      <c r="I52" s="51">
        <f>-'Note 9'!I169</f>
        <v>3132563.9337858818</v>
      </c>
      <c r="J52" s="51">
        <f>-'Note 9'!J169</f>
        <v>3226236.4815990794</v>
      </c>
      <c r="K52" s="51">
        <f>-'Note 9'!K169</f>
        <v>3325140.6185000255</v>
      </c>
      <c r="L52" s="51">
        <f>-'Note 9'!L169</f>
        <v>3426017.1715837969</v>
      </c>
      <c r="M52" s="51">
        <f>-'Note 9'!M169</f>
        <v>3524675.7779661166</v>
      </c>
      <c r="O52" s="191"/>
    </row>
    <row r="53" spans="1:15" x14ac:dyDescent="0.25">
      <c r="B53" s="6" t="s">
        <v>609</v>
      </c>
      <c r="C53" s="51">
        <f>-'Note 9'!C185</f>
        <v>50825</v>
      </c>
      <c r="D53" s="51">
        <f>-'Note 9'!D185</f>
        <v>50710.162283520003</v>
      </c>
      <c r="E53" s="51">
        <f>-'Note 9'!E185</f>
        <v>51977.916340608004</v>
      </c>
      <c r="F53" s="51">
        <f>-'Note 9'!F185</f>
        <v>53277.364249123209</v>
      </c>
      <c r="G53" s="51">
        <f>-'Note 9'!G185</f>
        <v>54609.298355351282</v>
      </c>
      <c r="H53" s="51">
        <f>-'Note 9'!H185</f>
        <v>55974.53081423507</v>
      </c>
      <c r="I53" s="51">
        <f>-'Note 9'!I185</f>
        <v>57373.894084590953</v>
      </c>
      <c r="J53" s="51">
        <f>-'Note 9'!J185</f>
        <v>58808.241436705721</v>
      </c>
      <c r="K53" s="51">
        <f>-'Note 9'!K185</f>
        <v>60278.44747262336</v>
      </c>
      <c r="L53" s="51">
        <f>-'Note 9'!L185</f>
        <v>61785.408659438945</v>
      </c>
      <c r="M53" s="51">
        <f>-'Note 9'!M185</f>
        <v>63330.043875924923</v>
      </c>
      <c r="O53" s="191"/>
    </row>
    <row r="54" spans="1:15" x14ac:dyDescent="0.25">
      <c r="B54" s="6" t="s">
        <v>610</v>
      </c>
      <c r="C54" s="51">
        <f>-'Note 9'!C201</f>
        <v>1818877</v>
      </c>
      <c r="D54" s="51">
        <f>-'Note 9'!D201</f>
        <v>2098720.3738566022</v>
      </c>
      <c r="E54" s="51">
        <f>-'Note 9'!E201</f>
        <v>2242751.101385809</v>
      </c>
      <c r="F54" s="51">
        <f>-'Note 9'!F201</f>
        <v>2386500.3878269796</v>
      </c>
      <c r="G54" s="51">
        <f>-'Note 9'!G201</f>
        <v>2560209.812442373</v>
      </c>
      <c r="H54" s="51">
        <f>-'Note 9'!H201</f>
        <v>2741086.1889115372</v>
      </c>
      <c r="I54" s="51">
        <f>-'Note 9'!I201</f>
        <v>2929392.2986377715</v>
      </c>
      <c r="J54" s="51">
        <f>-'Note 9'!J201</f>
        <v>3109399.9063934488</v>
      </c>
      <c r="K54" s="51">
        <f>-'Note 9'!K201</f>
        <v>3306990.0533117461</v>
      </c>
      <c r="L54" s="51">
        <f>-'Note 9'!L201</f>
        <v>3512693.3591142762</v>
      </c>
      <c r="M54" s="51">
        <f>-'Note 9'!M201</f>
        <v>3716806.3338582921</v>
      </c>
      <c r="O54" s="191"/>
    </row>
    <row r="55" spans="1:15" x14ac:dyDescent="0.25">
      <c r="B55" s="6" t="s">
        <v>611</v>
      </c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O55" s="191"/>
    </row>
    <row r="56" spans="1:15" x14ac:dyDescent="0.25">
      <c r="B56" s="6" t="s">
        <v>612</v>
      </c>
      <c r="C56" s="51">
        <f>-'Note 9'!C216</f>
        <v>0</v>
      </c>
      <c r="D56" s="51">
        <f>-'Note 9'!D216</f>
        <v>0</v>
      </c>
      <c r="E56" s="51">
        <f>-'Note 9'!E216</f>
        <v>0</v>
      </c>
      <c r="F56" s="51">
        <f>-'Note 9'!F216</f>
        <v>0</v>
      </c>
      <c r="G56" s="51">
        <f>-'Note 9'!G216</f>
        <v>0</v>
      </c>
      <c r="H56" s="51">
        <f>-'Note 9'!H216</f>
        <v>0</v>
      </c>
      <c r="I56" s="51">
        <f>-'Note 9'!I216</f>
        <v>0</v>
      </c>
      <c r="J56" s="51">
        <f>-'Note 9'!J216</f>
        <v>0</v>
      </c>
      <c r="K56" s="51">
        <f>-'Note 9'!K216</f>
        <v>0</v>
      </c>
      <c r="L56" s="51">
        <f>-'Note 9'!L216</f>
        <v>0</v>
      </c>
      <c r="M56" s="51">
        <f>-'Note 9'!M216</f>
        <v>0</v>
      </c>
      <c r="O56" s="191"/>
    </row>
    <row r="57" spans="1:15" x14ac:dyDescent="0.25">
      <c r="B57" s="6" t="s">
        <v>613</v>
      </c>
      <c r="C57" s="51">
        <f>-'Note 9'!C230</f>
        <v>324000</v>
      </c>
      <c r="D57" s="51">
        <f>-'Note 9'!D230</f>
        <v>326078.79450000002</v>
      </c>
      <c r="E57" s="51">
        <f>-'Note 9'!E230</f>
        <v>334695.06812499999</v>
      </c>
      <c r="F57" s="51">
        <f>-'Note 9'!F230</f>
        <v>345524.38350312499</v>
      </c>
      <c r="G57" s="51">
        <f>-'Note 9'!G230</f>
        <v>358622.06667820312</v>
      </c>
      <c r="H57" s="51">
        <f>-'Note 9'!H230</f>
        <v>374044.82684515818</v>
      </c>
      <c r="I57" s="51">
        <f>-'Note 9'!I230</f>
        <v>391850.79092878709</v>
      </c>
      <c r="J57" s="51">
        <f>-'Note 9'!J230</f>
        <v>412099.53902700677</v>
      </c>
      <c r="K57" s="51">
        <f>-'Note 9'!K230</f>
        <v>434852.1407401819</v>
      </c>
      <c r="L57" s="51">
        <f>-'Note 9'!L230</f>
        <v>460171.19240868633</v>
      </c>
      <c r="M57" s="51">
        <f>-'Note 9'!M230</f>
        <v>488120.8552814034</v>
      </c>
      <c r="O57" s="191"/>
    </row>
    <row r="58" spans="1:15" ht="15.75" thickBot="1" x14ac:dyDescent="0.3">
      <c r="B58" s="55" t="s">
        <v>614</v>
      </c>
      <c r="C58" s="56">
        <f t="shared" ref="C58:M58" si="3">SUBTOTAL(9,C44:C57)</f>
        <v>23528982</v>
      </c>
      <c r="D58" s="56">
        <f t="shared" si="3"/>
        <v>22822754.025585577</v>
      </c>
      <c r="E58" s="56">
        <f t="shared" si="3"/>
        <v>23802379.839880958</v>
      </c>
      <c r="F58" s="56">
        <f t="shared" si="3"/>
        <v>24845621.932583559</v>
      </c>
      <c r="G58" s="56">
        <f t="shared" si="3"/>
        <v>25745440.298295461</v>
      </c>
      <c r="H58" s="56">
        <f t="shared" si="3"/>
        <v>26607354.454380278</v>
      </c>
      <c r="I58" s="56">
        <f t="shared" si="3"/>
        <v>27716740.51252811</v>
      </c>
      <c r="J58" s="56">
        <f t="shared" si="3"/>
        <v>28506447.635382351</v>
      </c>
      <c r="K58" s="56">
        <f t="shared" si="3"/>
        <v>29591737.265016958</v>
      </c>
      <c r="L58" s="56">
        <f t="shared" si="3"/>
        <v>30948956.723557297</v>
      </c>
      <c r="M58" s="56">
        <f t="shared" si="3"/>
        <v>31969887.873776428</v>
      </c>
      <c r="O58" s="191"/>
    </row>
    <row r="59" spans="1:15" ht="15.75" thickTop="1" x14ac:dyDescent="0.25">
      <c r="O59" s="191"/>
    </row>
    <row r="60" spans="1:15" x14ac:dyDescent="0.25">
      <c r="O60" s="191"/>
    </row>
    <row r="61" spans="1:15" x14ac:dyDescent="0.25">
      <c r="A61" s="6"/>
      <c r="B61" s="49" t="s">
        <v>686</v>
      </c>
      <c r="O61" s="191"/>
    </row>
    <row r="62" spans="1:15" x14ac:dyDescent="0.25">
      <c r="A62" s="6"/>
      <c r="B62" s="6"/>
      <c r="O62" s="191"/>
    </row>
    <row r="63" spans="1:15" x14ac:dyDescent="0.25">
      <c r="A63" s="6" t="s">
        <v>441</v>
      </c>
      <c r="B63" s="6" t="s">
        <v>718</v>
      </c>
      <c r="C63" s="51">
        <f>SUMIF(TB!$A:$A,A63,TB!$D:$D)</f>
        <v>31200</v>
      </c>
      <c r="D63" s="51">
        <f>C63*(1+Assumptions!C50+Assumptions!C38)</f>
        <v>31980.000000000004</v>
      </c>
      <c r="E63" s="51">
        <f>D63*(1+Assumptions!D50+Assumptions!D38)</f>
        <v>32779.500000000007</v>
      </c>
      <c r="F63" s="51">
        <f>E63*(1+Assumptions!E50+Assumptions!E38)</f>
        <v>33598.98750000001</v>
      </c>
      <c r="G63" s="51">
        <f>F63*(1+Assumptions!F50+Assumptions!F38)</f>
        <v>34438.962187500016</v>
      </c>
      <c r="H63" s="51">
        <f>G63*(1+Assumptions!G50+Assumptions!G38)</f>
        <v>35299.936242187519</v>
      </c>
      <c r="I63" s="51">
        <f>H63*(1+Assumptions!H50+Assumptions!H38)</f>
        <v>36182.434648242212</v>
      </c>
      <c r="J63" s="51">
        <f>I63*(1+Assumptions!I50+Assumptions!I38)</f>
        <v>37086.995514448274</v>
      </c>
      <c r="K63" s="51">
        <f>J63*(1+Assumptions!J50+Assumptions!J38)</f>
        <v>38014.170402309486</v>
      </c>
      <c r="L63" s="51">
        <f>K63*(1+Assumptions!K50+Assumptions!K38)</f>
        <v>38964.524662367228</v>
      </c>
      <c r="M63" s="51">
        <f>L63*(1+Assumptions!L50+Assumptions!L38)</f>
        <v>39938.637778926415</v>
      </c>
      <c r="O63" s="191"/>
    </row>
    <row r="64" spans="1:15" x14ac:dyDescent="0.25">
      <c r="A64" s="6" t="s">
        <v>431</v>
      </c>
      <c r="B64" s="6" t="s">
        <v>719</v>
      </c>
      <c r="C64" s="51">
        <f>SUMIF(TB!$A:$A,A64,TB!$D:$D)</f>
        <v>461900</v>
      </c>
      <c r="D64" s="51">
        <f>C64*(1+Assumptions!C50+Assumptions!C38)</f>
        <v>473447.50000000006</v>
      </c>
      <c r="E64" s="51">
        <f>D64*(1+Assumptions!D50+Assumptions!D38)</f>
        <v>485283.68750000012</v>
      </c>
      <c r="F64" s="51">
        <f>E64*(1+Assumptions!E50+Assumptions!E38)</f>
        <v>497415.77968750021</v>
      </c>
      <c r="G64" s="51">
        <f>F64*(1+Assumptions!F50+Assumptions!F38)</f>
        <v>509851.17417968781</v>
      </c>
      <c r="H64" s="51">
        <f>G64*(1+Assumptions!G50+Assumptions!G38)</f>
        <v>522597.45353418007</v>
      </c>
      <c r="I64" s="51">
        <f>H64*(1+Assumptions!H50+Assumptions!H38)</f>
        <v>535662.38987253467</v>
      </c>
      <c r="J64" s="51">
        <f>I64*(1+Assumptions!I50+Assumptions!I38)</f>
        <v>549053.94961934816</v>
      </c>
      <c r="K64" s="51">
        <f>J64*(1+Assumptions!J50+Assumptions!J38)</f>
        <v>562780.29835983191</v>
      </c>
      <c r="L64" s="51">
        <f>K64*(1+Assumptions!K50+Assumptions!K38)</f>
        <v>576849.80581882782</v>
      </c>
      <c r="M64" s="51">
        <f>L64*(1+Assumptions!L50+Assumptions!L38)</f>
        <v>591271.05096429854</v>
      </c>
      <c r="O64" s="191"/>
    </row>
    <row r="65" spans="1:15" x14ac:dyDescent="0.25">
      <c r="A65" s="6" t="s">
        <v>440</v>
      </c>
      <c r="B65" s="6" t="s">
        <v>720</v>
      </c>
      <c r="C65" s="51">
        <f>SUMIF(TB!$A:$A,A65,TB!$D:$D)</f>
        <v>1328740</v>
      </c>
      <c r="D65" s="51">
        <f>C65*(1+Assumptions!C50+Assumptions!C38)</f>
        <v>1361958.5000000002</v>
      </c>
      <c r="E65" s="51">
        <f>D65*(1+Assumptions!D50+Assumptions!D38)</f>
        <v>1396007.4625000004</v>
      </c>
      <c r="F65" s="51">
        <f>E65*(1+Assumptions!E50+Assumptions!E38)</f>
        <v>1430907.6490625006</v>
      </c>
      <c r="G65" s="51">
        <f>F65*(1+Assumptions!F50+Assumptions!F38)</f>
        <v>1466680.3402890633</v>
      </c>
      <c r="H65" s="51">
        <f>G65*(1+Assumptions!G50+Assumptions!G38)</f>
        <v>1503347.3487962901</v>
      </c>
      <c r="I65" s="51">
        <f>H65*(1+Assumptions!H50+Assumptions!H38)</f>
        <v>1540931.0325161975</v>
      </c>
      <c r="J65" s="51">
        <f>I65*(1+Assumptions!I50+Assumptions!I38)</f>
        <v>1579454.3083291026</v>
      </c>
      <c r="K65" s="51">
        <f>J65*(1+Assumptions!J50+Assumptions!J38)</f>
        <v>1618940.6660373304</v>
      </c>
      <c r="L65" s="51">
        <f>K65*(1+Assumptions!K50+Assumptions!K38)</f>
        <v>1659414.1826882639</v>
      </c>
      <c r="M65" s="51">
        <f>L65*(1+Assumptions!L50+Assumptions!L38)</f>
        <v>1700899.5372554709</v>
      </c>
      <c r="O65" s="191"/>
    </row>
    <row r="66" spans="1:15" x14ac:dyDescent="0.25">
      <c r="A66" s="6"/>
      <c r="B66" s="6" t="s">
        <v>721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O66" s="191"/>
    </row>
    <row r="67" spans="1:15" x14ac:dyDescent="0.25">
      <c r="A67" s="6" t="s">
        <v>427</v>
      </c>
      <c r="B67" s="6" t="s">
        <v>722</v>
      </c>
      <c r="C67" s="51">
        <f>SUMIF(TB!$A:$A,A67,TB!$D:$D)</f>
        <v>269787</v>
      </c>
      <c r="D67" s="51">
        <f>C67*(1+Assumptions!C50+Assumptions!C38)</f>
        <v>276531.67500000005</v>
      </c>
      <c r="E67" s="51">
        <f>D67*(1+Assumptions!D50+Assumptions!D38)</f>
        <v>283444.9668750001</v>
      </c>
      <c r="F67" s="51">
        <f>E67*(1+Assumptions!E50+Assumptions!E38)</f>
        <v>290531.09104687517</v>
      </c>
      <c r="G67" s="51">
        <f>F67*(1+Assumptions!F50+Assumptions!F38)</f>
        <v>297794.36832304706</v>
      </c>
      <c r="H67" s="51">
        <f>G67*(1+Assumptions!G50+Assumptions!G38)</f>
        <v>305239.22753112327</v>
      </c>
      <c r="I67" s="51">
        <f>H67*(1+Assumptions!H50+Assumptions!H38)</f>
        <v>312870.20821940136</v>
      </c>
      <c r="J67" s="51">
        <f>I67*(1+Assumptions!I50+Assumptions!I38)</f>
        <v>320691.96342488646</v>
      </c>
      <c r="K67" s="51">
        <f>J67*(1+Assumptions!J50+Assumptions!J38)</f>
        <v>328709.26251050865</v>
      </c>
      <c r="L67" s="51">
        <f>K67*(1+Assumptions!K50+Assumptions!K38)</f>
        <v>336926.9940732714</v>
      </c>
      <c r="M67" s="51">
        <f>L67*(1+Assumptions!L50+Assumptions!L38)</f>
        <v>345350.16892510321</v>
      </c>
      <c r="O67" s="191"/>
    </row>
    <row r="68" spans="1:15" x14ac:dyDescent="0.25">
      <c r="A68" s="6" t="s">
        <v>429</v>
      </c>
      <c r="B68" s="6" t="s">
        <v>723</v>
      </c>
      <c r="C68" s="51">
        <f>SUMIF(TB!$A:$A,A68,TB!$D:$D)</f>
        <v>260788</v>
      </c>
      <c r="D68" s="51">
        <f>C68*(1+Assumptions!C50+Assumptions!C38)</f>
        <v>267307.7</v>
      </c>
      <c r="E68" s="51">
        <f>D68*(1+Assumptions!D50+Assumptions!D38)</f>
        <v>273990.39250000007</v>
      </c>
      <c r="F68" s="51">
        <f>E68*(1+Assumptions!E50+Assumptions!E38)</f>
        <v>280840.15231250011</v>
      </c>
      <c r="G68" s="51">
        <f>F68*(1+Assumptions!F50+Assumptions!F38)</f>
        <v>287861.15612031263</v>
      </c>
      <c r="H68" s="51">
        <f>G68*(1+Assumptions!G50+Assumptions!G38)</f>
        <v>295057.68502332049</v>
      </c>
      <c r="I68" s="51">
        <f>H68*(1+Assumptions!H50+Assumptions!H38)</f>
        <v>302434.12714890356</v>
      </c>
      <c r="J68" s="51">
        <f>I68*(1+Assumptions!I50+Assumptions!I38)</f>
        <v>309994.98032762617</v>
      </c>
      <c r="K68" s="51">
        <f>J68*(1+Assumptions!J50+Assumptions!J38)</f>
        <v>317744.85483581683</v>
      </c>
      <c r="L68" s="51">
        <f>K68*(1+Assumptions!K50+Assumptions!K38)</f>
        <v>325688.47620671231</v>
      </c>
      <c r="M68" s="51">
        <f>L68*(1+Assumptions!L50+Assumptions!L38)</f>
        <v>333830.68811188015</v>
      </c>
      <c r="O68" s="191"/>
    </row>
    <row r="69" spans="1:15" x14ac:dyDescent="0.25">
      <c r="A69" s="6" t="s">
        <v>428</v>
      </c>
      <c r="B69" s="6" t="s">
        <v>724</v>
      </c>
      <c r="C69" s="51">
        <f>SUMIF(TB!$A:$A,A69,TB!$D:$D)</f>
        <v>2260724</v>
      </c>
      <c r="D69" s="51">
        <f>C69*(1+Assumptions!C50+Assumptions!C38)</f>
        <v>2317242.1</v>
      </c>
      <c r="E69" s="51">
        <f>D69*(1+Assumptions!D50+Assumptions!D38)</f>
        <v>2375173.1525000003</v>
      </c>
      <c r="F69" s="51">
        <f>E69*(1+Assumptions!E50+Assumptions!E38)</f>
        <v>2434552.4813125008</v>
      </c>
      <c r="G69" s="51">
        <f>F69*(1+Assumptions!F50+Assumptions!F38)</f>
        <v>2495416.2933453135</v>
      </c>
      <c r="H69" s="51">
        <f>G69*(1+Assumptions!G50+Assumptions!G38)</f>
        <v>2557801.7006789469</v>
      </c>
      <c r="I69" s="51">
        <f>H69*(1+Assumptions!H50+Assumptions!H38)</f>
        <v>2621746.7431959207</v>
      </c>
      <c r="J69" s="51">
        <f>I69*(1+Assumptions!I50+Assumptions!I38)</f>
        <v>2687290.411775819</v>
      </c>
      <c r="K69" s="51">
        <f>J69*(1+Assumptions!J50+Assumptions!J38)</f>
        <v>2754472.672070215</v>
      </c>
      <c r="L69" s="51">
        <f>K69*(1+Assumptions!K50+Assumptions!K38)</f>
        <v>2823334.4888719707</v>
      </c>
      <c r="M69" s="51">
        <f>L69*(1+Assumptions!L50+Assumptions!L38)</f>
        <v>2893917.8510937705</v>
      </c>
      <c r="O69" s="191"/>
    </row>
    <row r="70" spans="1:15" x14ac:dyDescent="0.25">
      <c r="A70" s="6" t="s">
        <v>687</v>
      </c>
      <c r="B70" s="6" t="s">
        <v>725</v>
      </c>
      <c r="C70" s="51">
        <f>SUMIF(TB!$A:$A,A70,TB!$D:$D)</f>
        <v>0</v>
      </c>
      <c r="D70" s="51">
        <f>C70*(1+Assumptions!C50)</f>
        <v>0</v>
      </c>
      <c r="E70" s="51">
        <f>D70*(1+Assumptions!D50)</f>
        <v>0</v>
      </c>
      <c r="F70" s="51">
        <f>E70*(1+Assumptions!E50)</f>
        <v>0</v>
      </c>
      <c r="G70" s="51">
        <f>F70*(1+Assumptions!F50)</f>
        <v>0</v>
      </c>
      <c r="H70" s="51">
        <f>G70*(1+Assumptions!G50)</f>
        <v>0</v>
      </c>
      <c r="I70" s="51">
        <f>H70*(1+Assumptions!H50)</f>
        <v>0</v>
      </c>
      <c r="J70" s="51">
        <f>I70*(1+Assumptions!I50)</f>
        <v>0</v>
      </c>
      <c r="K70" s="51">
        <f>J70*(1+Assumptions!J50)</f>
        <v>0</v>
      </c>
      <c r="L70" s="51">
        <f>K70*(1+Assumptions!K50)</f>
        <v>0</v>
      </c>
      <c r="M70" s="51">
        <f>L70*(1+Assumptions!L50)</f>
        <v>0</v>
      </c>
      <c r="O70" s="191"/>
    </row>
    <row r="71" spans="1:15" x14ac:dyDescent="0.25">
      <c r="A71" s="6" t="s">
        <v>433</v>
      </c>
      <c r="B71" s="6" t="s">
        <v>726</v>
      </c>
      <c r="C71" s="51">
        <f>SUMIF(TB!$A:$A,A71,TB!$D:$D)</f>
        <v>65232</v>
      </c>
      <c r="D71" s="51">
        <f>C71*(1+Assumptions!C9)</f>
        <v>66862.799999999988</v>
      </c>
      <c r="E71" s="51">
        <f>D71*(1+Assumptions!D9)</f>
        <v>68534.369999999981</v>
      </c>
      <c r="F71" s="51">
        <f>E71*(1+Assumptions!E9)</f>
        <v>70247.729249999975</v>
      </c>
      <c r="G71" s="51">
        <f>F71*(1+Assumptions!F9)</f>
        <v>72003.922481249974</v>
      </c>
      <c r="H71" s="51">
        <f>G71*(1+Assumptions!G9)</f>
        <v>73804.020543281222</v>
      </c>
      <c r="I71" s="51">
        <f>H71*(1+Assumptions!H9)</f>
        <v>75649.121056863252</v>
      </c>
      <c r="J71" s="51">
        <f>I71*(1+Assumptions!I9)</f>
        <v>77540.349083284833</v>
      </c>
      <c r="K71" s="51">
        <f>J71*(1+Assumptions!J9)</f>
        <v>79478.857810366942</v>
      </c>
      <c r="L71" s="51">
        <f>K71*(1+Assumptions!K9)</f>
        <v>81465.829255626115</v>
      </c>
      <c r="M71" s="51">
        <f>L71*(1+Assumptions!L9)</f>
        <v>83502.474987016758</v>
      </c>
      <c r="O71" s="191"/>
    </row>
    <row r="72" spans="1:15" x14ac:dyDescent="0.25">
      <c r="A72" s="6" t="s">
        <v>434</v>
      </c>
      <c r="B72" s="6" t="s">
        <v>727</v>
      </c>
      <c r="C72" s="51">
        <f>SUMIF(TB!$A:$A,A72,TB!$D:$D)</f>
        <v>394620</v>
      </c>
      <c r="D72" s="51">
        <f>C72*(1+Assumptions!C9)</f>
        <v>404485.49999999994</v>
      </c>
      <c r="E72" s="51">
        <f>D72*(1+Assumptions!D9)</f>
        <v>414597.6374999999</v>
      </c>
      <c r="F72" s="51">
        <f>E72*(1+Assumptions!E9)</f>
        <v>424962.57843749988</v>
      </c>
      <c r="G72" s="51">
        <f>F72*(1+Assumptions!F9)</f>
        <v>435586.64289843733</v>
      </c>
      <c r="H72" s="51">
        <f>G72*(1+Assumptions!G9)</f>
        <v>446476.30897089822</v>
      </c>
      <c r="I72" s="51">
        <f>H72*(1+Assumptions!H9)</f>
        <v>457638.21669517062</v>
      </c>
      <c r="J72" s="51">
        <f>I72*(1+Assumptions!I9)</f>
        <v>469079.17211254983</v>
      </c>
      <c r="K72" s="51">
        <f>J72*(1+Assumptions!J9)</f>
        <v>480806.15141536354</v>
      </c>
      <c r="L72" s="51">
        <f>K72*(1+Assumptions!K9)</f>
        <v>492826.30520074756</v>
      </c>
      <c r="M72" s="51">
        <f>L72*(1+Assumptions!L9)</f>
        <v>505146.96283076622</v>
      </c>
      <c r="O72" s="191"/>
    </row>
    <row r="73" spans="1:15" x14ac:dyDescent="0.25">
      <c r="A73" s="6" t="s">
        <v>435</v>
      </c>
      <c r="B73" s="6" t="s">
        <v>728</v>
      </c>
      <c r="C73" s="51">
        <f>SUMIF(TB!$A:$A,A73,TB!$D:$D)-TB!D117/2</f>
        <v>144000</v>
      </c>
      <c r="D73" s="51">
        <f>C73*(1+Assumptions!C50+Assumptions!C38)</f>
        <v>147600.00000000003</v>
      </c>
      <c r="E73" s="51">
        <f>D73*(1+Assumptions!D50+Assumptions!D38)</f>
        <v>151290.00000000006</v>
      </c>
      <c r="F73" s="51">
        <f>E73*(1+Assumptions!E50+Assumptions!E38)</f>
        <v>155072.25000000009</v>
      </c>
      <c r="G73" s="51">
        <f>F73*(1+Assumptions!F50+Assumptions!F38)</f>
        <v>158949.05625000011</v>
      </c>
      <c r="H73" s="51">
        <f>G73*(1+Assumptions!G50+Assumptions!G38)</f>
        <v>162922.78265625014</v>
      </c>
      <c r="I73" s="51">
        <f>H73*(1+Assumptions!H50+Assumptions!H38)</f>
        <v>166995.85222265642</v>
      </c>
      <c r="J73" s="51">
        <f>I73*(1+Assumptions!I50+Assumptions!I38)</f>
        <v>171170.74852822284</v>
      </c>
      <c r="K73" s="51">
        <f>J73*(1+Assumptions!J50+Assumptions!J38)</f>
        <v>175450.01724142843</v>
      </c>
      <c r="L73" s="51">
        <f>K73*(1+Assumptions!K50+Assumptions!K38)</f>
        <v>179836.26767246416</v>
      </c>
      <c r="M73" s="51">
        <f>L73*(1+Assumptions!L50+Assumptions!L38)</f>
        <v>184332.17436427579</v>
      </c>
      <c r="O73" s="191"/>
    </row>
    <row r="74" spans="1:15" x14ac:dyDescent="0.25">
      <c r="A74" s="6" t="s">
        <v>439</v>
      </c>
      <c r="B74" s="6" t="s">
        <v>729</v>
      </c>
      <c r="C74" s="51">
        <f>SUMIF(TB!$A:$A,A74,TB!$D:$D)</f>
        <v>829500</v>
      </c>
      <c r="D74" s="51">
        <f>C74*(1+Assumptions!C9)</f>
        <v>850237.49999999988</v>
      </c>
      <c r="E74" s="51">
        <f>D74*(1+Assumptions!D9)</f>
        <v>871493.43749999977</v>
      </c>
      <c r="F74" s="51">
        <f>E74*(1+Assumptions!E9)</f>
        <v>893280.77343749965</v>
      </c>
      <c r="G74" s="51">
        <f>F74*(1+Assumptions!F9)</f>
        <v>915612.7927734371</v>
      </c>
      <c r="H74" s="51">
        <f>G74*(1+Assumptions!G9)</f>
        <v>938503.11259277293</v>
      </c>
      <c r="I74" s="51">
        <f>H74*(1+Assumptions!H9)</f>
        <v>961965.69040759222</v>
      </c>
      <c r="J74" s="51">
        <f>I74*(1+Assumptions!I9)</f>
        <v>986014.83266778197</v>
      </c>
      <c r="K74" s="51">
        <f>J74*(1+Assumptions!J9)</f>
        <v>1010665.2034844764</v>
      </c>
      <c r="L74" s="51">
        <f>K74*(1+Assumptions!K9)</f>
        <v>1035931.8335715883</v>
      </c>
      <c r="M74" s="51">
        <f>L74*(1+Assumptions!L9)</f>
        <v>1061830.1294108778</v>
      </c>
      <c r="O74" s="191"/>
    </row>
    <row r="75" spans="1:15" x14ac:dyDescent="0.25">
      <c r="A75" s="6" t="s">
        <v>499</v>
      </c>
      <c r="B75" s="6" t="s">
        <v>730</v>
      </c>
      <c r="C75" s="51">
        <f>SUMIF(TB!$A:$A,A75,TB!$D:$D)</f>
        <v>622320</v>
      </c>
      <c r="D75" s="51"/>
      <c r="E75" s="51"/>
      <c r="F75" s="51">
        <v>691672.71796817542</v>
      </c>
      <c r="H75" s="51"/>
      <c r="I75" s="51"/>
      <c r="J75" s="51">
        <v>765452.97580427537</v>
      </c>
      <c r="L75" s="51"/>
      <c r="M75" s="51"/>
      <c r="O75" s="191"/>
    </row>
    <row r="76" spans="1:15" x14ac:dyDescent="0.25">
      <c r="A76" s="6" t="s">
        <v>423</v>
      </c>
      <c r="B76" s="6" t="s">
        <v>731</v>
      </c>
      <c r="C76" s="51">
        <f>SUMIF(TB!$A:$A,A76,TB!$D:$D)</f>
        <v>1217276</v>
      </c>
      <c r="D76" s="51">
        <f>C76*(1+Assumptions!C52+Assumptions!C38)</f>
        <v>1247707.9000000001</v>
      </c>
      <c r="E76" s="51">
        <f>D76*(1+Assumptions!D52+Assumptions!D38)</f>
        <v>1278900.5975000004</v>
      </c>
      <c r="F76" s="51">
        <f>E76*(1+Assumptions!E52+Assumptions!E38)</f>
        <v>1310873.1124375006</v>
      </c>
      <c r="G76" s="51">
        <f>F76*(1+Assumptions!F52+Assumptions!F38)</f>
        <v>1343644.9402484384</v>
      </c>
      <c r="H76" s="51">
        <f>G76*(1+Assumptions!G52+Assumptions!G38)</f>
        <v>1377236.0637546496</v>
      </c>
      <c r="I76" s="51">
        <f>H76*(1+Assumptions!H52+Assumptions!H38)</f>
        <v>1411666.9653485161</v>
      </c>
      <c r="J76" s="51">
        <f>I76*(1+Assumptions!I52+Assumptions!I38)</f>
        <v>1446958.6394822292</v>
      </c>
      <c r="K76" s="51">
        <f>J76*(1+Assumptions!J52+Assumptions!J38)</f>
        <v>1483132.6054692853</v>
      </c>
      <c r="L76" s="51">
        <f>K76*(1+Assumptions!K52+Assumptions!K38)</f>
        <v>1520210.9206060176</v>
      </c>
      <c r="M76" s="51">
        <f>L76*(1+Assumptions!L52+Assumptions!L38)</f>
        <v>1558216.1936211681</v>
      </c>
      <c r="O76" s="191"/>
    </row>
    <row r="77" spans="1:15" x14ac:dyDescent="0.25">
      <c r="A77" s="6" t="s">
        <v>426</v>
      </c>
      <c r="B77" s="6" t="s">
        <v>37</v>
      </c>
      <c r="C77" s="51">
        <f>SUMIF(TB!$A:$A,A77,TB!$D:$D)</f>
        <v>2772044</v>
      </c>
      <c r="D77" s="51">
        <f>C77*(1+Assumptions!C54)</f>
        <v>2938366.64</v>
      </c>
      <c r="E77" s="51">
        <f>D77*(1+Assumptions!D54)</f>
        <v>3114668.6384000005</v>
      </c>
      <c r="F77" s="51">
        <f>E77*(1+Assumptions!E54)</f>
        <v>3301548.7567040008</v>
      </c>
      <c r="G77" s="51">
        <f>F77*(1+Assumptions!F54)</f>
        <v>3499641.6821062411</v>
      </c>
      <c r="H77" s="51">
        <f>G77*(1+Assumptions!G54)</f>
        <v>3709620.1830326156</v>
      </c>
      <c r="I77" s="51">
        <f>H77*(1+Assumptions!H54)</f>
        <v>3932197.3940145727</v>
      </c>
      <c r="J77" s="51">
        <f>I77*(1+Assumptions!I54)</f>
        <v>4168129.2376554473</v>
      </c>
      <c r="K77" s="51">
        <f>J77*(1+Assumptions!J54)</f>
        <v>4418216.9919147743</v>
      </c>
      <c r="L77" s="51">
        <f>K77*(1+Assumptions!K54)</f>
        <v>4683310.011429661</v>
      </c>
      <c r="M77" s="51">
        <f>L77*(1+Assumptions!L54)</f>
        <v>4964308.6121154409</v>
      </c>
      <c r="O77" s="191"/>
    </row>
    <row r="78" spans="1:15" x14ac:dyDescent="0.25">
      <c r="A78" s="6" t="s">
        <v>437</v>
      </c>
      <c r="B78" s="6" t="s">
        <v>732</v>
      </c>
      <c r="C78" s="51">
        <f>SUMIF(TB!$A:$A,A78,TB!$D:$D)</f>
        <v>2510000</v>
      </c>
      <c r="D78" s="51">
        <f>C78*(1+Assumptions!C52+Assumptions!C38)</f>
        <v>2572750.0000000005</v>
      </c>
      <c r="E78" s="51">
        <f>D78*(1+Assumptions!D52+Assumptions!D38)</f>
        <v>2637068.7500000009</v>
      </c>
      <c r="F78" s="51">
        <f>E78*(1+Assumptions!E52+Assumptions!E38)</f>
        <v>2702995.4687500014</v>
      </c>
      <c r="G78" s="51">
        <f>F78*(1+Assumptions!F52+Assumptions!F38)</f>
        <v>2770570.3554687519</v>
      </c>
      <c r="H78" s="51">
        <f>G78*(1+Assumptions!G52+Assumptions!G38)</f>
        <v>2839834.614355471</v>
      </c>
      <c r="I78" s="51">
        <f>H78*(1+Assumptions!H52+Assumptions!H38)</f>
        <v>2910830.4797143582</v>
      </c>
      <c r="J78" s="51">
        <f>I78*(1+Assumptions!I52+Assumptions!I38)</f>
        <v>2983601.2417072174</v>
      </c>
      <c r="K78" s="51">
        <f>J78*(1+Assumptions!J52+Assumptions!J38)</f>
        <v>3058191.272749898</v>
      </c>
      <c r="L78" s="51">
        <f>K78*(1+Assumptions!K52+Assumptions!K38)</f>
        <v>3134646.054568646</v>
      </c>
      <c r="M78" s="51">
        <f>L78*(1+Assumptions!L52+Assumptions!L38)</f>
        <v>3213012.2059328626</v>
      </c>
      <c r="O78" s="191"/>
    </row>
    <row r="79" spans="1:15" x14ac:dyDescent="0.25">
      <c r="A79" s="6" t="s">
        <v>438</v>
      </c>
      <c r="B79" s="6" t="s">
        <v>733</v>
      </c>
      <c r="C79" s="51">
        <f>SUMIF(TB!$A:$A,A79,TB!$D:$D)</f>
        <v>471759</v>
      </c>
      <c r="D79" s="51">
        <f>C79*(1+Assumptions!C50+Assumptions!C38)</f>
        <v>483552.97500000003</v>
      </c>
      <c r="E79" s="51">
        <f>D79*(1+Assumptions!D50+Assumptions!D38)</f>
        <v>495641.79937500012</v>
      </c>
      <c r="F79" s="51">
        <f>E79*(1+Assumptions!E50+Assumptions!E38)</f>
        <v>508032.84435937519</v>
      </c>
      <c r="G79" s="51">
        <f>F79*(1+Assumptions!F50+Assumptions!F38)</f>
        <v>520733.66546835966</v>
      </c>
      <c r="H79" s="51">
        <f>G79*(1+Assumptions!G50+Assumptions!G38)</f>
        <v>533752.00710506877</v>
      </c>
      <c r="I79" s="51">
        <f>H79*(1+Assumptions!H50+Assumptions!H38)</f>
        <v>547095.80728269555</v>
      </c>
      <c r="J79" s="51">
        <f>I79*(1+Assumptions!I50+Assumptions!I38)</f>
        <v>560773.20246476296</v>
      </c>
      <c r="K79" s="51">
        <f>J79*(1+Assumptions!J50+Assumptions!J38)</f>
        <v>574792.53252638213</v>
      </c>
      <c r="L79" s="51">
        <f>K79*(1+Assumptions!K50+Assumptions!K38)</f>
        <v>589162.34583954175</v>
      </c>
      <c r="M79" s="51">
        <f>L79*(1+Assumptions!L50+Assumptions!L38)</f>
        <v>603891.40448553034</v>
      </c>
      <c r="O79" s="191"/>
    </row>
    <row r="80" spans="1:15" x14ac:dyDescent="0.25">
      <c r="A80" s="6" t="s">
        <v>422</v>
      </c>
      <c r="B80" s="6" t="s">
        <v>734</v>
      </c>
      <c r="C80" s="51">
        <f>SUMIF(TB!$A:$A,A80,TB!$D:$D)</f>
        <v>861695</v>
      </c>
      <c r="D80" s="51">
        <f>C80*(1+Assumptions!C50+Assumptions!C38)</f>
        <v>883237.37500000012</v>
      </c>
      <c r="E80" s="51">
        <f>D80*(1+Assumptions!D50+Assumptions!D38)</f>
        <v>905318.30937500019</v>
      </c>
      <c r="F80" s="51">
        <f>E80*(1+Assumptions!E50+Assumptions!E38)</f>
        <v>927951.26710937533</v>
      </c>
      <c r="G80" s="51">
        <f>F80*(1+Assumptions!F50+Assumptions!F38)</f>
        <v>951150.04878710979</v>
      </c>
      <c r="H80" s="51">
        <f>G80*(1+Assumptions!G50+Assumptions!G38)</f>
        <v>974928.80000678764</v>
      </c>
      <c r="I80" s="51">
        <f>H80*(1+Assumptions!H50+Assumptions!H38)</f>
        <v>999302.02000695746</v>
      </c>
      <c r="J80" s="51">
        <f>I80*(1+Assumptions!I50+Assumptions!I38)</f>
        <v>1024284.5705071315</v>
      </c>
      <c r="K80" s="51">
        <f>J80*(1+Assumptions!J50+Assumptions!J38)</f>
        <v>1049891.6847698099</v>
      </c>
      <c r="L80" s="51">
        <f>K80*(1+Assumptions!K50+Assumptions!K38)</f>
        <v>1076138.9768890552</v>
      </c>
      <c r="M80" s="51">
        <f>L80*(1+Assumptions!L50+Assumptions!L38)</f>
        <v>1103042.4513112816</v>
      </c>
      <c r="O80" s="191"/>
    </row>
    <row r="81" spans="1:15" x14ac:dyDescent="0.25">
      <c r="A81" s="6" t="s">
        <v>436</v>
      </c>
      <c r="B81" s="6" t="s">
        <v>735</v>
      </c>
      <c r="C81" s="51">
        <f>SUMIF(TB!$A:$A,A81,TB!$D:$D)</f>
        <v>163200</v>
      </c>
      <c r="D81" s="51">
        <f>C81*(1+Assumptions!C50+Assumptions!C38)</f>
        <v>167280.00000000003</v>
      </c>
      <c r="E81" s="51">
        <f>D81*(1+Assumptions!D50+Assumptions!D38)</f>
        <v>171462.00000000006</v>
      </c>
      <c r="F81" s="51">
        <f>E81*(1+Assumptions!E50+Assumptions!E38)</f>
        <v>175748.55000000008</v>
      </c>
      <c r="G81" s="51">
        <f>F81*(1+Assumptions!F50+Assumptions!F38)</f>
        <v>180142.2637500001</v>
      </c>
      <c r="H81" s="51">
        <f>G81*(1+Assumptions!G50+Assumptions!G38)</f>
        <v>184645.82034375012</v>
      </c>
      <c r="I81" s="51">
        <f>H81*(1+Assumptions!H50+Assumptions!H38)</f>
        <v>189261.96585234388</v>
      </c>
      <c r="J81" s="51">
        <f>I81*(1+Assumptions!I50+Assumptions!I38)</f>
        <v>193993.51499865251</v>
      </c>
      <c r="K81" s="51">
        <f>J81*(1+Assumptions!J50+Assumptions!J38)</f>
        <v>198843.35287361883</v>
      </c>
      <c r="L81" s="51">
        <f>K81*(1+Assumptions!K50+Assumptions!K38)</f>
        <v>203814.43669545933</v>
      </c>
      <c r="M81" s="51">
        <f>L81*(1+Assumptions!L50+Assumptions!L38)</f>
        <v>208909.79761284584</v>
      </c>
      <c r="O81" s="191"/>
    </row>
    <row r="82" spans="1:15" x14ac:dyDescent="0.25">
      <c r="A82" s="6" t="s">
        <v>432</v>
      </c>
      <c r="B82" s="6" t="s">
        <v>736</v>
      </c>
      <c r="C82" s="51">
        <f>SUMIF(TB!$A:$A,A82,TB!$D:$D)</f>
        <v>263780</v>
      </c>
      <c r="D82" s="51">
        <f>C82*(1+Assumptions!C50+Assumptions!C38)</f>
        <v>270374.50000000006</v>
      </c>
      <c r="E82" s="51">
        <f>D82*(1+Assumptions!D50+Assumptions!D38)</f>
        <v>277133.8625000001</v>
      </c>
      <c r="F82" s="51">
        <f>E82*(1+Assumptions!E50+Assumptions!E38)</f>
        <v>284062.20906250016</v>
      </c>
      <c r="G82" s="51">
        <f>F82*(1+Assumptions!F50+Assumptions!F38)</f>
        <v>291163.7642890627</v>
      </c>
      <c r="H82" s="51">
        <f>G82*(1+Assumptions!G50+Assumptions!G38)</f>
        <v>298442.85839628929</v>
      </c>
      <c r="I82" s="51">
        <f>H82*(1+Assumptions!H50+Assumptions!H38)</f>
        <v>305903.92985619657</v>
      </c>
      <c r="J82" s="51">
        <f>I82*(1+Assumptions!I50+Assumptions!I38)</f>
        <v>313551.52810260153</v>
      </c>
      <c r="K82" s="51">
        <f>J82*(1+Assumptions!J50+Assumptions!J38)</f>
        <v>321390.31630516663</v>
      </c>
      <c r="L82" s="51">
        <f>K82*(1+Assumptions!K50+Assumptions!K38)</f>
        <v>329425.07421279582</v>
      </c>
      <c r="M82" s="51">
        <f>L82*(1+Assumptions!L50+Assumptions!L38)</f>
        <v>337660.70106811577</v>
      </c>
      <c r="O82" s="191"/>
    </row>
    <row r="83" spans="1:15" x14ac:dyDescent="0.25">
      <c r="A83" s="6" t="s">
        <v>425</v>
      </c>
      <c r="B83" s="6" t="s">
        <v>737</v>
      </c>
      <c r="C83" s="51">
        <f>SUMIF(TB!$A:$A,A83,TB!$D:$D)</f>
        <v>521124</v>
      </c>
      <c r="D83" s="51">
        <f>C83*(1+Assumptions!C52+Assumptions!C38)</f>
        <v>534152.10000000009</v>
      </c>
      <c r="E83" s="51">
        <f>D83*(1+Assumptions!D52+Assumptions!D38)</f>
        <v>547505.9025000002</v>
      </c>
      <c r="F83" s="51">
        <f>E83*(1+Assumptions!E52+Assumptions!E38)</f>
        <v>561193.55006250029</v>
      </c>
      <c r="G83" s="51">
        <f>F83*(1+Assumptions!F52+Assumptions!F38)</f>
        <v>575223.38881406293</v>
      </c>
      <c r="H83" s="51">
        <f>G83*(1+Assumptions!G52+Assumptions!G38)</f>
        <v>589603.97353441454</v>
      </c>
      <c r="I83" s="51">
        <f>H83*(1+Assumptions!H52+Assumptions!H38)</f>
        <v>604344.07287277502</v>
      </c>
      <c r="J83" s="51">
        <f>I83*(1+Assumptions!I52+Assumptions!I38)</f>
        <v>619452.67469459446</v>
      </c>
      <c r="K83" s="51">
        <f>J83*(1+Assumptions!J52+Assumptions!J38)</f>
        <v>634938.99156195938</v>
      </c>
      <c r="L83" s="51">
        <f>K83*(1+Assumptions!K52+Assumptions!K38)</f>
        <v>650812.46635100851</v>
      </c>
      <c r="M83" s="51">
        <f>L83*(1+Assumptions!L52+Assumptions!L38)</f>
        <v>667082.77800978383</v>
      </c>
      <c r="O83" s="191"/>
    </row>
    <row r="84" spans="1:15" x14ac:dyDescent="0.25">
      <c r="A84" s="6" t="s">
        <v>424</v>
      </c>
      <c r="B84" s="6" t="s">
        <v>522</v>
      </c>
      <c r="C84" s="51">
        <f>SUMIF(TB!$A:$A,A84,TB!$D:$D)+TB!D117/2</f>
        <v>414295</v>
      </c>
      <c r="D84" s="51">
        <f>C84*(1+Assumptions!C50+Assumptions!C38)</f>
        <v>424652.37500000006</v>
      </c>
      <c r="E84" s="51">
        <f>D84*(1+Assumptions!D50+Assumptions!D38)</f>
        <v>435268.68437500013</v>
      </c>
      <c r="F84" s="51">
        <f>E84*(1+Assumptions!E50+Assumptions!E38)</f>
        <v>446150.40148437518</v>
      </c>
      <c r="G84" s="51">
        <f>F84*(1+Assumptions!F50+Assumptions!F38)</f>
        <v>457304.16152148461</v>
      </c>
      <c r="H84" s="51">
        <f>G84*(1+Assumptions!G50+Assumptions!G38)</f>
        <v>468736.76555952179</v>
      </c>
      <c r="I84" s="51">
        <f>H84*(1+Assumptions!H50+Assumptions!H38)</f>
        <v>480455.18469850993</v>
      </c>
      <c r="J84" s="51">
        <f>I84*(1+Assumptions!I50+Assumptions!I38)</f>
        <v>492466.56431597273</v>
      </c>
      <c r="K84" s="51">
        <f>J84*(1+Assumptions!J50+Assumptions!J38)</f>
        <v>504778.22842387209</v>
      </c>
      <c r="L84" s="51">
        <f>K84*(1+Assumptions!K50+Assumptions!K38)</f>
        <v>517397.68413446896</v>
      </c>
      <c r="M84" s="51">
        <f>L84*(1+Assumptions!L50+Assumptions!L38)</f>
        <v>530332.62623783073</v>
      </c>
      <c r="O84" s="191"/>
    </row>
    <row r="85" spans="1:15" x14ac:dyDescent="0.25">
      <c r="A85" s="50" t="s">
        <v>86</v>
      </c>
      <c r="B85" s="52" t="s">
        <v>87</v>
      </c>
      <c r="C85" s="53">
        <f>SUMIF('Manual Adjust'!$A:$A,$A85,'Manual Adjust'!C:C)</f>
        <v>0</v>
      </c>
      <c r="D85" s="53">
        <f>SUMIF('Manual Adjust'!$A:$A,$A85,'Manual Adjust'!D:D)</f>
        <v>344401.69168657548</v>
      </c>
      <c r="E85" s="53">
        <f>SUMIF('Manual Adjust'!$A:$A,$A85,'Manual Adjust'!E:E)</f>
        <v>322431.80197019916</v>
      </c>
      <c r="F85" s="53">
        <f>SUMIF('Manual Adjust'!$A:$A,$A85,'Manual Adjust'!F:F)</f>
        <v>331250.92638411309</v>
      </c>
      <c r="G85" s="53">
        <f>SUMIF('Manual Adjust'!$A:$A,$A85,'Manual Adjust'!G:G)</f>
        <v>340647.31218068046</v>
      </c>
      <c r="H85" s="53">
        <f>SUMIF('Manual Adjust'!$A:$A,$A85,'Manual Adjust'!H:H)</f>
        <v>349981.56372936466</v>
      </c>
      <c r="I85" s="53">
        <f>SUMIF('Manual Adjust'!$A:$A,$A85,'Manual Adjust'!I:I)</f>
        <v>359713.05104975001</v>
      </c>
      <c r="J85" s="53">
        <f>SUMIF('Manual Adjust'!$A:$A,$A85,'Manual Adjust'!J:J)</f>
        <v>369268.87883385504</v>
      </c>
      <c r="K85" s="53">
        <f>SUMIF('Manual Adjust'!$A:$A,$A85,'Manual Adjust'!K:K)</f>
        <v>379495.24777126341</v>
      </c>
      <c r="L85" s="53">
        <f>SUMIF('Manual Adjust'!$A:$A,$A85,'Manual Adjust'!L:L)</f>
        <v>390022.03504560218</v>
      </c>
      <c r="M85" s="53">
        <f>SUMIF('Manual Adjust'!$A:$A,$A85,'Manual Adjust'!M:M)</f>
        <v>400858.76527540223</v>
      </c>
      <c r="O85" s="191"/>
    </row>
    <row r="86" spans="1:15" ht="15.75" thickBot="1" x14ac:dyDescent="0.3">
      <c r="A86" s="6"/>
      <c r="B86" s="55" t="s">
        <v>688</v>
      </c>
      <c r="C86" s="56">
        <f>SUBTOTAL(9,C63:C85)</f>
        <v>15863984</v>
      </c>
      <c r="D86" s="56">
        <f t="shared" ref="D86:M86" si="4">SUBTOTAL(9,D63:D85)</f>
        <v>16064128.831686577</v>
      </c>
      <c r="E86" s="56">
        <f t="shared" si="4"/>
        <v>16537994.952870201</v>
      </c>
      <c r="F86" s="56">
        <f t="shared" si="4"/>
        <v>17752889.276368797</v>
      </c>
      <c r="G86" s="56">
        <f t="shared" si="4"/>
        <v>17604416.291482236</v>
      </c>
      <c r="H86" s="56">
        <f t="shared" si="4"/>
        <v>18167832.226387184</v>
      </c>
      <c r="I86" s="56">
        <f t="shared" si="4"/>
        <v>18752846.68668016</v>
      </c>
      <c r="J86" s="56">
        <f t="shared" si="4"/>
        <v>20125310.739949811</v>
      </c>
      <c r="K86" s="56">
        <f t="shared" si="4"/>
        <v>19990733.378533676</v>
      </c>
      <c r="L86" s="56">
        <f t="shared" si="4"/>
        <v>20646178.713794097</v>
      </c>
      <c r="M86" s="56">
        <f t="shared" si="4"/>
        <v>21327335.211392652</v>
      </c>
      <c r="O86" s="191"/>
    </row>
    <row r="87" spans="1:15" ht="15.75" thickTop="1" x14ac:dyDescent="0.25"/>
    <row r="90" spans="1:15" ht="15.75" x14ac:dyDescent="0.25">
      <c r="A90" s="6"/>
      <c r="B90" s="28" t="s">
        <v>689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5" x14ac:dyDescent="0.25">
      <c r="A92" s="6"/>
      <c r="B92" s="49" t="s">
        <v>690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5" x14ac:dyDescent="0.25">
      <c r="A93" s="6"/>
      <c r="B93" s="6" t="s">
        <v>691</v>
      </c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1:15" x14ac:dyDescent="0.25">
      <c r="A94" s="6"/>
      <c r="B94" s="6" t="s">
        <v>692</v>
      </c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1:15" x14ac:dyDescent="0.25">
      <c r="A95" s="6"/>
      <c r="B95" s="49" t="s">
        <v>693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1:1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x14ac:dyDescent="0.25">
      <c r="A97" s="6"/>
      <c r="B97" s="49" t="s">
        <v>627</v>
      </c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x14ac:dyDescent="0.25">
      <c r="A98" s="6" t="s">
        <v>497</v>
      </c>
      <c r="B98" s="6" t="s">
        <v>694</v>
      </c>
      <c r="C98" s="51">
        <f>-'[4]10 Year Plan'!B140</f>
        <v>1320570.6518488859</v>
      </c>
      <c r="D98" s="51">
        <f>-'[4]10 Year Plan'!C140</f>
        <v>2026768.7432036037</v>
      </c>
      <c r="E98" s="51">
        <f>-'[4]10 Year Plan'!D140</f>
        <v>958043.09432184824</v>
      </c>
      <c r="F98" s="51">
        <f>-'[4]10 Year Plan'!E140</f>
        <v>2112212.0163588161</v>
      </c>
      <c r="G98" s="51">
        <f>-'[4]10 Year Plan'!F140</f>
        <v>1492072.282760869</v>
      </c>
      <c r="H98" s="51">
        <f>-'[4]10 Year Plan'!G140</f>
        <v>1384218.7809164156</v>
      </c>
      <c r="I98" s="51">
        <f>-'[4]10 Year Plan'!H140</f>
        <v>2052354.7153227653</v>
      </c>
      <c r="J98" s="51">
        <f>-'[4]10 Year Plan'!I140</f>
        <v>1403107.3692480517</v>
      </c>
      <c r="K98" s="51">
        <f>-'[4]10 Year Plan'!J140</f>
        <v>1658105.9040875053</v>
      </c>
      <c r="L98" s="51">
        <f>-'[4]10 Year Plan'!K140</f>
        <v>2488839.4222118952</v>
      </c>
      <c r="M98" s="51">
        <f>-'[4]10 Year Plan'!L140</f>
        <v>1352917.1660758243</v>
      </c>
    </row>
    <row r="99" spans="1:13" x14ac:dyDescent="0.25">
      <c r="A99" s="6"/>
      <c r="B99" s="6" t="s">
        <v>695</v>
      </c>
      <c r="C99" s="51">
        <f>-C98*0.9</f>
        <v>-1188513.5866639973</v>
      </c>
      <c r="D99" s="51">
        <f t="shared" ref="D99:M99" si="5">-D98*0.9</f>
        <v>-1824091.8688832433</v>
      </c>
      <c r="E99" s="51">
        <f t="shared" si="5"/>
        <v>-862238.78488966345</v>
      </c>
      <c r="F99" s="51">
        <f t="shared" si="5"/>
        <v>-1900990.8147229345</v>
      </c>
      <c r="G99" s="51">
        <f t="shared" si="5"/>
        <v>-1342865.054484782</v>
      </c>
      <c r="H99" s="51">
        <f t="shared" si="5"/>
        <v>-1245796.9028247742</v>
      </c>
      <c r="I99" s="51">
        <f t="shared" si="5"/>
        <v>-1847119.2437904887</v>
      </c>
      <c r="J99" s="51">
        <f t="shared" si="5"/>
        <v>-1262796.6323232464</v>
      </c>
      <c r="K99" s="51">
        <f t="shared" si="5"/>
        <v>-1492295.3136787547</v>
      </c>
      <c r="L99" s="51">
        <f t="shared" si="5"/>
        <v>-2239955.4799907058</v>
      </c>
      <c r="M99" s="51">
        <f t="shared" si="5"/>
        <v>-1217625.449468242</v>
      </c>
    </row>
    <row r="100" spans="1:13" x14ac:dyDescent="0.25">
      <c r="A100" s="6"/>
      <c r="B100" s="49" t="s">
        <v>696</v>
      </c>
      <c r="C100" s="61">
        <f>SUBTOTAL(9,C98:C99)</f>
        <v>132057.06518488866</v>
      </c>
      <c r="D100" s="61">
        <f t="shared" ref="D100:M100" si="6">SUBTOTAL(9,D98:D99)</f>
        <v>202676.87432036037</v>
      </c>
      <c r="E100" s="61">
        <f t="shared" si="6"/>
        <v>95804.309432184789</v>
      </c>
      <c r="F100" s="61">
        <f t="shared" si="6"/>
        <v>211221.20163588156</v>
      </c>
      <c r="G100" s="61">
        <f t="shared" si="6"/>
        <v>149207.22827608697</v>
      </c>
      <c r="H100" s="61">
        <f t="shared" si="6"/>
        <v>138421.87809164147</v>
      </c>
      <c r="I100" s="61">
        <f t="shared" si="6"/>
        <v>205235.4715322766</v>
      </c>
      <c r="J100" s="61">
        <f t="shared" si="6"/>
        <v>140310.73692480521</v>
      </c>
      <c r="K100" s="61">
        <f t="shared" si="6"/>
        <v>165810.59040875058</v>
      </c>
      <c r="L100" s="61">
        <f t="shared" si="6"/>
        <v>248883.94222118938</v>
      </c>
      <c r="M100" s="61">
        <f t="shared" si="6"/>
        <v>135291.71660758229</v>
      </c>
    </row>
    <row r="101" spans="1:13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 x14ac:dyDescent="0.25">
      <c r="A102" s="6"/>
      <c r="B102" s="49" t="s">
        <v>605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 x14ac:dyDescent="0.25">
      <c r="A103" s="6"/>
      <c r="B103" s="6" t="s">
        <v>697</v>
      </c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</row>
    <row r="104" spans="1:13" x14ac:dyDescent="0.25">
      <c r="A104" s="6"/>
      <c r="B104" s="6" t="s">
        <v>698</v>
      </c>
      <c r="C104" s="51"/>
      <c r="D104" s="51">
        <f>'Note 9'!D106+'Note 9'!D120+'Note 9'!D136+'Note 9'!D152+'Note 9'!D168+'Note 9'!D184+'Note 9'!D200+'Note 9'!D215</f>
        <v>-3205012.450206385</v>
      </c>
      <c r="E104" s="51">
        <f>'Note 9'!E106+'Note 9'!E120+'Note 9'!E136+'Note 9'!E152+'Note 9'!E168+'Note 9'!E184+'Note 9'!E200+'Note 9'!E215</f>
        <v>-1506507.0220516906</v>
      </c>
      <c r="F104" s="51">
        <f>'Note 9'!F106+'Note 9'!F120+'Note 9'!F136+'Note 9'!F152+'Note 9'!F168+'Note 9'!F184+'Note 9'!F200+'Note 9'!F215</f>
        <v>-1757013.3784049477</v>
      </c>
      <c r="G104" s="51">
        <f>'Note 9'!G106+'Note 9'!G120+'Note 9'!G136+'Note 9'!G152+'Note 9'!G168+'Note 9'!G184+'Note 9'!G200+'Note 9'!G215</f>
        <v>-1741368.6263991944</v>
      </c>
      <c r="H104" s="51">
        <f>'Note 9'!H106+'Note 9'!H120+'Note 9'!H136+'Note 9'!H152+'Note 9'!H168+'Note 9'!H184+'Note 9'!H200+'Note 9'!H215</f>
        <v>-1789931.7303919648</v>
      </c>
      <c r="I104" s="51">
        <f>'Note 9'!I106+'Note 9'!I120+'Note 9'!I136+'Note 9'!I152+'Note 9'!I168+'Note 9'!I184+'Note 9'!I200+'Note 9'!I215</f>
        <v>-1686737.2560846822</v>
      </c>
      <c r="J104" s="51">
        <f>'Note 9'!J106+'Note 9'!J120+'Note 9'!J136+'Note 9'!J152+'Note 9'!J168+'Note 9'!J184+'Note 9'!J200+'Note 9'!J215</f>
        <v>-1781720.2501758137</v>
      </c>
      <c r="K104" s="51">
        <f>'Note 9'!K106+'Note 9'!K120+'Note 9'!K136+'Note 9'!K152+'Note 9'!K168+'Note 9'!K184+'Note 9'!K200+'Note 9'!K215</f>
        <v>-1718250.2727535055</v>
      </c>
      <c r="L104" s="51">
        <f>'Note 9'!L106+'Note 9'!L120+'Note 9'!L136+'Note 9'!L152+'Note 9'!L168+'Note 9'!L184+'Note 9'!L200+'Note 9'!L215</f>
        <v>-1764077.1841448047</v>
      </c>
      <c r="M104" s="51">
        <f>'Note 9'!M106+'Note 9'!M120+'Note 9'!M136+'Note 9'!M152+'Note 9'!M168+'Note 9'!M184+'Note 9'!M200+'Note 9'!M215</f>
        <v>-1844238.0218061409</v>
      </c>
    </row>
    <row r="105" spans="1:13" x14ac:dyDescent="0.25">
      <c r="A105" s="6"/>
      <c r="B105" s="49" t="s">
        <v>696</v>
      </c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 x14ac:dyDescent="0.25">
      <c r="A107" s="6"/>
      <c r="B107" s="49" t="s">
        <v>699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 x14ac:dyDescent="0.25">
      <c r="A108" s="6"/>
      <c r="B108" s="6" t="s">
        <v>700</v>
      </c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</row>
    <row r="109" spans="1:13" x14ac:dyDescent="0.25">
      <c r="A109" s="6"/>
      <c r="B109" s="6" t="s">
        <v>701</v>
      </c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</row>
    <row r="110" spans="1:13" x14ac:dyDescent="0.25">
      <c r="A110" s="6"/>
      <c r="B110" s="49" t="s">
        <v>696</v>
      </c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 ht="15.75" thickBot="1" x14ac:dyDescent="0.3">
      <c r="A112" s="6"/>
      <c r="B112" s="55" t="s">
        <v>702</v>
      </c>
      <c r="C112" s="56">
        <f>SUBTOTAL(9,C93:C110)</f>
        <v>132057.06518488866</v>
      </c>
      <c r="D112" s="56">
        <f>SUBTOTAL(9,D93:D110)</f>
        <v>-3002335.5758860246</v>
      </c>
      <c r="E112" s="56">
        <f t="shared" ref="E112:M112" si="7">SUBTOTAL(9,E93:E110)</f>
        <v>-1410702.7126195058</v>
      </c>
      <c r="F112" s="56">
        <f t="shared" si="7"/>
        <v>-1545792.1767690661</v>
      </c>
      <c r="G112" s="56">
        <f t="shared" si="7"/>
        <v>-1592161.3981231074</v>
      </c>
      <c r="H112" s="56">
        <f t="shared" si="7"/>
        <v>-1651509.8523003233</v>
      </c>
      <c r="I112" s="56">
        <f t="shared" si="7"/>
        <v>-1481501.7845524056</v>
      </c>
      <c r="J112" s="56">
        <f t="shared" si="7"/>
        <v>-1641409.5132510085</v>
      </c>
      <c r="K112" s="56">
        <f t="shared" si="7"/>
        <v>-1552439.6823447549</v>
      </c>
      <c r="L112" s="56">
        <f t="shared" si="7"/>
        <v>-1515193.2419236153</v>
      </c>
      <c r="M112" s="56">
        <f t="shared" si="7"/>
        <v>-1708946.3051985586</v>
      </c>
    </row>
    <row r="113" ht="15.75" thickTop="1" x14ac:dyDescent="0.25"/>
  </sheetData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4"/>
  <sheetViews>
    <sheetView zoomScale="110" zoomScaleNormal="110" workbookViewId="0">
      <pane xSplit="1" ySplit="5" topLeftCell="B99" activePane="bottomRight" state="frozen"/>
      <selection pane="topRight" activeCell="B1" sqref="B1"/>
      <selection pane="bottomLeft" activeCell="A6" sqref="A6"/>
      <selection pane="bottomRight" activeCell="C119" sqref="C119"/>
    </sheetView>
  </sheetViews>
  <sheetFormatPr defaultRowHeight="15" x14ac:dyDescent="0.25"/>
  <cols>
    <col min="1" max="1" width="35.7109375" customWidth="1"/>
    <col min="2" max="12" width="12.7109375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703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89" t="s">
        <v>8</v>
      </c>
      <c r="D4" s="89" t="s">
        <v>9</v>
      </c>
      <c r="E4" s="89" t="s">
        <v>10</v>
      </c>
      <c r="F4" s="89" t="s">
        <v>11</v>
      </c>
      <c r="G4" s="89" t="s">
        <v>12</v>
      </c>
      <c r="H4" s="89" t="s">
        <v>13</v>
      </c>
      <c r="I4" s="89" t="s">
        <v>14</v>
      </c>
      <c r="J4" s="89" t="s">
        <v>15</v>
      </c>
      <c r="K4" s="89" t="s">
        <v>16</v>
      </c>
      <c r="L4" s="89" t="s">
        <v>17</v>
      </c>
    </row>
    <row r="5" spans="1:12" x14ac:dyDescent="0.25">
      <c r="A5" s="6"/>
      <c r="B5" s="7">
        <f>BASE_YR</f>
        <v>2018</v>
      </c>
      <c r="C5" s="89">
        <f>B5+1</f>
        <v>2019</v>
      </c>
      <c r="D5" s="89">
        <f t="shared" ref="D5:L5" si="0">C5+1</f>
        <v>2020</v>
      </c>
      <c r="E5" s="89">
        <f t="shared" si="0"/>
        <v>2021</v>
      </c>
      <c r="F5" s="89">
        <f t="shared" si="0"/>
        <v>2022</v>
      </c>
      <c r="G5" s="89">
        <f t="shared" si="0"/>
        <v>2023</v>
      </c>
      <c r="H5" s="89">
        <f t="shared" si="0"/>
        <v>2024</v>
      </c>
      <c r="I5" s="89">
        <f t="shared" si="0"/>
        <v>2025</v>
      </c>
      <c r="J5" s="89">
        <f t="shared" si="0"/>
        <v>2026</v>
      </c>
      <c r="K5" s="89">
        <f t="shared" si="0"/>
        <v>2027</v>
      </c>
      <c r="L5" s="89">
        <f t="shared" si="0"/>
        <v>2028</v>
      </c>
    </row>
    <row r="7" spans="1:12" ht="15.75" x14ac:dyDescent="0.25">
      <c r="A7" s="28" t="s">
        <v>704</v>
      </c>
    </row>
    <row r="8" spans="1:12" x14ac:dyDescent="0.25">
      <c r="A8" s="44"/>
    </row>
    <row r="9" spans="1:12" x14ac:dyDescent="0.25">
      <c r="A9" s="49" t="s">
        <v>705</v>
      </c>
    </row>
    <row r="10" spans="1:12" x14ac:dyDescent="0.25">
      <c r="A10" s="6" t="s">
        <v>706</v>
      </c>
      <c r="B10" s="51">
        <v>191588.37</v>
      </c>
      <c r="C10" s="51">
        <f>B10*(1+Assumptions!C$36)</f>
        <v>199954.83038396601</v>
      </c>
      <c r="D10" s="51">
        <f>C10*(1+Assumptions!D$36)</f>
        <v>208686.64519605556</v>
      </c>
      <c r="E10" s="51">
        <f>D10*(1+Assumptions!E$36)</f>
        <v>217799.7690756291</v>
      </c>
      <c r="F10" s="51">
        <f>E10*(1+Assumptions!F$36)</f>
        <v>227310.85338418183</v>
      </c>
      <c r="G10" s="51">
        <f>F10*(1+Assumptions!G$36)</f>
        <v>237237.27663045854</v>
      </c>
      <c r="H10" s="51">
        <f>G10*(1+Assumptions!H$36)</f>
        <v>247597.17622420067</v>
      </c>
      <c r="I10" s="51">
        <f>H10*(1+Assumptions!I$36)</f>
        <v>258409.48161654585</v>
      </c>
      <c r="J10" s="51">
        <f>I10*(1+Assumptions!J$36)</f>
        <v>269693.94888763345</v>
      </c>
      <c r="K10" s="51">
        <f>J10*(1+Assumptions!K$36)</f>
        <v>281471.19684461405</v>
      </c>
      <c r="L10" s="51">
        <f>K10*(1+Assumptions!L$36)</f>
        <v>293762.7446960205</v>
      </c>
    </row>
    <row r="11" spans="1:12" x14ac:dyDescent="0.25">
      <c r="A11" s="6" t="s">
        <v>707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</row>
    <row r="12" spans="1:12" x14ac:dyDescent="0.25">
      <c r="A12" s="93" t="s">
        <v>708</v>
      </c>
      <c r="B12" s="51">
        <f>2858667+'Cashflow Statement'!B40</f>
        <v>2617993.9929457381</v>
      </c>
      <c r="C12" s="51">
        <f>'Cashflow Statement'!C44-C10</f>
        <v>1785173.6795575374</v>
      </c>
      <c r="D12" s="51">
        <f>'Cashflow Statement'!D44-D10</f>
        <v>1447892.0424728647</v>
      </c>
      <c r="E12" s="51">
        <f>'Cashflow Statement'!E44-E10</f>
        <v>1632883.3866360488</v>
      </c>
      <c r="F12" s="51">
        <f>'Cashflow Statement'!F44-F10</f>
        <v>1499396.4458983866</v>
      </c>
      <c r="G12" s="51">
        <f>'Cashflow Statement'!G44-G10</f>
        <v>1119685.7519997633</v>
      </c>
      <c r="H12" s="51">
        <f>'Cashflow Statement'!H44-H10</f>
        <v>955096.0085257407</v>
      </c>
      <c r="I12" s="51">
        <f>'Cashflow Statement'!I44-I10</f>
        <v>1071372.0682184235</v>
      </c>
      <c r="J12" s="51">
        <f>'Cashflow Statement'!J44-J10</f>
        <v>1019990.1147769226</v>
      </c>
      <c r="K12" s="51">
        <f>'Cashflow Statement'!K44-K10</f>
        <v>1645012.7767960266</v>
      </c>
      <c r="L12" s="51">
        <f>'Cashflow Statement'!L44-L10</f>
        <v>1685391.6953103854</v>
      </c>
    </row>
    <row r="13" spans="1:12" x14ac:dyDescent="0.25">
      <c r="A13" s="93" t="s">
        <v>709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</row>
    <row r="14" spans="1:12" x14ac:dyDescent="0.25">
      <c r="A14" s="93" t="s">
        <v>710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</row>
    <row r="15" spans="1:12" x14ac:dyDescent="0.25">
      <c r="A15" s="49" t="s">
        <v>711</v>
      </c>
      <c r="B15" s="60">
        <f>SUBTOTAL(9,B10:B14)</f>
        <v>2809582.3629457382</v>
      </c>
      <c r="C15" s="60">
        <f t="shared" ref="C15:L15" si="1">SUBTOTAL(9,C10:C14)</f>
        <v>1985128.5099415034</v>
      </c>
      <c r="D15" s="60">
        <f t="shared" si="1"/>
        <v>1656578.6876689203</v>
      </c>
      <c r="E15" s="60">
        <f t="shared" si="1"/>
        <v>1850683.1557116779</v>
      </c>
      <c r="F15" s="60">
        <f t="shared" si="1"/>
        <v>1726707.2992825685</v>
      </c>
      <c r="G15" s="60">
        <f t="shared" si="1"/>
        <v>1356923.0286302217</v>
      </c>
      <c r="H15" s="60">
        <f t="shared" si="1"/>
        <v>1202693.1847499413</v>
      </c>
      <c r="I15" s="60">
        <f t="shared" si="1"/>
        <v>1329781.5498349695</v>
      </c>
      <c r="J15" s="60">
        <f t="shared" si="1"/>
        <v>1289684.063664556</v>
      </c>
      <c r="K15" s="60">
        <f t="shared" si="1"/>
        <v>1926483.9736406407</v>
      </c>
      <c r="L15" s="60">
        <f t="shared" si="1"/>
        <v>1979154.440006406</v>
      </c>
    </row>
    <row r="16" spans="1:12" x14ac:dyDescent="0.25">
      <c r="A16" s="44"/>
      <c r="B16" s="44"/>
      <c r="C16" s="94"/>
      <c r="D16" s="94"/>
      <c r="E16" s="94"/>
      <c r="F16" s="94"/>
      <c r="G16" s="94"/>
      <c r="H16" s="94"/>
      <c r="I16" s="94"/>
      <c r="J16" s="94"/>
      <c r="K16" s="94"/>
      <c r="L16" s="94"/>
    </row>
    <row r="17" spans="1:12" x14ac:dyDescent="0.25">
      <c r="A17" s="49" t="s">
        <v>712</v>
      </c>
      <c r="B17" s="44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1:12" x14ac:dyDescent="0.25">
      <c r="A18" s="93" t="s">
        <v>713</v>
      </c>
      <c r="B18" s="51">
        <f>B21</f>
        <v>38320082.637054265</v>
      </c>
      <c r="C18" s="51">
        <f t="shared" ref="C18:L18" si="2">C21</f>
        <v>34320082.637054265</v>
      </c>
      <c r="D18" s="51">
        <f t="shared" si="2"/>
        <v>33320082.637054265</v>
      </c>
      <c r="E18" s="51">
        <f t="shared" si="2"/>
        <v>31320082.637054265</v>
      </c>
      <c r="F18" s="51">
        <f t="shared" si="2"/>
        <v>31820082.637054265</v>
      </c>
      <c r="G18" s="51">
        <f t="shared" si="2"/>
        <v>32820082.637054265</v>
      </c>
      <c r="H18" s="51">
        <f t="shared" si="2"/>
        <v>34320082.637054265</v>
      </c>
      <c r="I18" s="51">
        <f t="shared" si="2"/>
        <v>36320082.637054265</v>
      </c>
      <c r="J18" s="51">
        <f t="shared" si="2"/>
        <v>38320082.637054265</v>
      </c>
      <c r="K18" s="51">
        <f t="shared" si="2"/>
        <v>38820082.637054265</v>
      </c>
      <c r="L18" s="51">
        <f t="shared" si="2"/>
        <v>40320082.637054265</v>
      </c>
    </row>
    <row r="19" spans="1:12" x14ac:dyDescent="0.25">
      <c r="A19" s="93" t="s">
        <v>714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</row>
    <row r="20" spans="1:12" x14ac:dyDescent="0.25">
      <c r="A20" s="93" t="s">
        <v>715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</row>
    <row r="21" spans="1:12" x14ac:dyDescent="0.25">
      <c r="A21" s="49" t="s">
        <v>716</v>
      </c>
      <c r="B21" s="60">
        <f>B33-B15</f>
        <v>38320082.637054265</v>
      </c>
      <c r="C21" s="60">
        <f>B21-'Cashflow Statement'!C25-'Cashflow Statement'!C28</f>
        <v>34320082.637054265</v>
      </c>
      <c r="D21" s="60">
        <f>C21-'Cashflow Statement'!D25-'Cashflow Statement'!D28</f>
        <v>33320082.637054265</v>
      </c>
      <c r="E21" s="60">
        <f>D21-'Cashflow Statement'!E25-'Cashflow Statement'!E28</f>
        <v>31320082.637054265</v>
      </c>
      <c r="F21" s="60">
        <f>E21-'Cashflow Statement'!F25-'Cashflow Statement'!F28</f>
        <v>31820082.637054265</v>
      </c>
      <c r="G21" s="60">
        <f>F21-'Cashflow Statement'!G25-'Cashflow Statement'!G28</f>
        <v>32820082.637054265</v>
      </c>
      <c r="H21" s="60">
        <f>G21-'Cashflow Statement'!H25-'Cashflow Statement'!H28</f>
        <v>34320082.637054265</v>
      </c>
      <c r="I21" s="60">
        <f>H21-'Cashflow Statement'!I25-'Cashflow Statement'!I28</f>
        <v>36320082.637054265</v>
      </c>
      <c r="J21" s="60">
        <f>I21-'Cashflow Statement'!J25-'Cashflow Statement'!J28</f>
        <v>38320082.637054265</v>
      </c>
      <c r="K21" s="60">
        <f>J21-'Cashflow Statement'!K25-'Cashflow Statement'!K28</f>
        <v>38820082.637054265</v>
      </c>
      <c r="L21" s="60">
        <f>K21-'Cashflow Statement'!L25-'Cashflow Statement'!L28</f>
        <v>40320082.637054265</v>
      </c>
    </row>
    <row r="22" spans="1:12" x14ac:dyDescent="0.25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 ht="15.75" thickBot="1" x14ac:dyDescent="0.3">
      <c r="A23" s="55" t="s">
        <v>717</v>
      </c>
      <c r="B23" s="56">
        <f>B15+B21</f>
        <v>41129665</v>
      </c>
      <c r="C23" s="56">
        <f t="shared" ref="C23:L23" si="3">C15+C21</f>
        <v>36305211.146995768</v>
      </c>
      <c r="D23" s="56">
        <f t="shared" si="3"/>
        <v>34976661.324723184</v>
      </c>
      <c r="E23" s="56">
        <f t="shared" si="3"/>
        <v>33170765.792765941</v>
      </c>
      <c r="F23" s="56">
        <f t="shared" si="3"/>
        <v>33546789.936336834</v>
      </c>
      <c r="G23" s="56">
        <f t="shared" si="3"/>
        <v>34177005.665684484</v>
      </c>
      <c r="H23" s="56">
        <f t="shared" si="3"/>
        <v>35522775.821804203</v>
      </c>
      <c r="I23" s="56">
        <f t="shared" si="3"/>
        <v>37649864.186889231</v>
      </c>
      <c r="J23" s="56">
        <f t="shared" si="3"/>
        <v>39609766.70071882</v>
      </c>
      <c r="K23" s="56">
        <f t="shared" si="3"/>
        <v>40746566.610694908</v>
      </c>
      <c r="L23" s="56">
        <f t="shared" si="3"/>
        <v>42299237.07706067</v>
      </c>
    </row>
    <row r="24" spans="1:12" ht="15.75" thickTop="1" x14ac:dyDescent="0.25"/>
    <row r="25" spans="1:12" ht="15.75" x14ac:dyDescent="0.25">
      <c r="A25" s="28" t="s">
        <v>760</v>
      </c>
    </row>
    <row r="27" spans="1:12" x14ac:dyDescent="0.25">
      <c r="A27" s="49" t="s">
        <v>761</v>
      </c>
      <c r="B27" s="60">
        <f>B23</f>
        <v>41129665</v>
      </c>
      <c r="C27" s="60">
        <f t="shared" ref="C27:L27" si="4">C23</f>
        <v>36305211.146995768</v>
      </c>
      <c r="D27" s="60">
        <f t="shared" si="4"/>
        <v>34976661.324723184</v>
      </c>
      <c r="E27" s="60">
        <f t="shared" si="4"/>
        <v>33170765.792765941</v>
      </c>
      <c r="F27" s="60">
        <f t="shared" si="4"/>
        <v>33546789.936336834</v>
      </c>
      <c r="G27" s="60">
        <f t="shared" si="4"/>
        <v>34177005.665684484</v>
      </c>
      <c r="H27" s="60">
        <f t="shared" si="4"/>
        <v>35522775.821804203</v>
      </c>
      <c r="I27" s="60">
        <f t="shared" si="4"/>
        <v>37649864.186889231</v>
      </c>
      <c r="J27" s="60">
        <f t="shared" si="4"/>
        <v>39609766.70071882</v>
      </c>
      <c r="K27" s="60">
        <f t="shared" si="4"/>
        <v>40746566.610694908</v>
      </c>
      <c r="L27" s="60">
        <f t="shared" si="4"/>
        <v>42299237.07706067</v>
      </c>
    </row>
    <row r="29" spans="1:12" x14ac:dyDescent="0.25">
      <c r="A29" s="49" t="s">
        <v>762</v>
      </c>
    </row>
    <row r="30" spans="1:12" x14ac:dyDescent="0.25">
      <c r="A30" s="6" t="s">
        <v>763</v>
      </c>
      <c r="B30" s="51">
        <f>B44</f>
        <v>7181916</v>
      </c>
      <c r="C30" s="51">
        <f t="shared" ref="C30:L30" si="5">C44</f>
        <v>6218906.2369681634</v>
      </c>
      <c r="D30" s="51">
        <f t="shared" si="5"/>
        <v>7136123.5226476043</v>
      </c>
      <c r="E30" s="51">
        <f t="shared" si="5"/>
        <v>7524628.3388306275</v>
      </c>
      <c r="F30" s="51">
        <f t="shared" si="5"/>
        <v>7755912.7761187218</v>
      </c>
      <c r="G30" s="51">
        <f t="shared" si="5"/>
        <v>7217718.0729577206</v>
      </c>
      <c r="H30" s="51">
        <f t="shared" si="5"/>
        <v>6418372.0692938678</v>
      </c>
      <c r="I30" s="51">
        <f t="shared" si="5"/>
        <v>6887002.7081286293</v>
      </c>
      <c r="J30" s="51">
        <f t="shared" si="5"/>
        <v>7968215.6290563252</v>
      </c>
      <c r="K30" s="51">
        <f t="shared" si="5"/>
        <v>8364630.2453333586</v>
      </c>
      <c r="L30" s="51">
        <f t="shared" si="5"/>
        <v>9622464.8239964899</v>
      </c>
    </row>
    <row r="31" spans="1:12" x14ac:dyDescent="0.25">
      <c r="A31" s="6" t="s">
        <v>764</v>
      </c>
      <c r="B31" s="51">
        <f>B61</f>
        <v>31619749</v>
      </c>
      <c r="C31" s="51">
        <f>C61</f>
        <v>27432975.919265829</v>
      </c>
      <c r="D31" s="51">
        <f t="shared" ref="D31:L31" si="6">D61</f>
        <v>25757519.567085266</v>
      </c>
      <c r="E31" s="51">
        <f t="shared" si="6"/>
        <v>24107085.106794886</v>
      </c>
      <c r="F31" s="51">
        <f t="shared" si="6"/>
        <v>24012320.489027739</v>
      </c>
      <c r="G31" s="51">
        <f>G61</f>
        <v>24986894.547210597</v>
      </c>
      <c r="H31" s="51">
        <f t="shared" si="6"/>
        <v>26634049.380339839</v>
      </c>
      <c r="I31" s="51">
        <f t="shared" si="6"/>
        <v>29649191.933571938</v>
      </c>
      <c r="J31" s="51">
        <f t="shared" si="6"/>
        <v>29960492.615812749</v>
      </c>
      <c r="K31" s="51">
        <f t="shared" si="6"/>
        <v>30745052.81934854</v>
      </c>
      <c r="L31" s="51">
        <f t="shared" si="6"/>
        <v>31083969.679393109</v>
      </c>
    </row>
    <row r="32" spans="1:12" x14ac:dyDescent="0.25">
      <c r="A32" s="6" t="s">
        <v>765</v>
      </c>
      <c r="B32" s="51">
        <v>2328000</v>
      </c>
      <c r="C32" s="51">
        <f>C33-C30-C31</f>
        <v>2653328.9907617755</v>
      </c>
      <c r="D32" s="51">
        <f t="shared" ref="D32:L32" si="7">D33-D30-D31</f>
        <v>2083018.2349903136</v>
      </c>
      <c r="E32" s="51">
        <f t="shared" si="7"/>
        <v>1539052.3471404277</v>
      </c>
      <c r="F32" s="51">
        <f t="shared" si="7"/>
        <v>1778556.6711903736</v>
      </c>
      <c r="G32" s="51">
        <f>G33-G30-G31</f>
        <v>1972393.0455161668</v>
      </c>
      <c r="H32" s="51">
        <f t="shared" si="7"/>
        <v>2470354.3721704967</v>
      </c>
      <c r="I32" s="51">
        <f t="shared" si="7"/>
        <v>1113669.5451886617</v>
      </c>
      <c r="J32" s="51">
        <f t="shared" si="7"/>
        <v>1681058.4558497444</v>
      </c>
      <c r="K32" s="51">
        <f t="shared" si="7"/>
        <v>1636883.5460130088</v>
      </c>
      <c r="L32" s="51">
        <f t="shared" si="7"/>
        <v>1592802.573671069</v>
      </c>
    </row>
    <row r="33" spans="1:12" x14ac:dyDescent="0.25">
      <c r="B33" s="60">
        <f>SUBTOTAL(9,B30:B32)</f>
        <v>41129665</v>
      </c>
      <c r="C33" s="60">
        <f t="shared" ref="C33:L33" si="8">C27</f>
        <v>36305211.146995768</v>
      </c>
      <c r="D33" s="60">
        <f t="shared" si="8"/>
        <v>34976661.324723184</v>
      </c>
      <c r="E33" s="60">
        <f t="shared" si="8"/>
        <v>33170765.792765941</v>
      </c>
      <c r="F33" s="60">
        <f t="shared" si="8"/>
        <v>33546789.936336834</v>
      </c>
      <c r="G33" s="60">
        <f t="shared" si="8"/>
        <v>34177005.665684484</v>
      </c>
      <c r="H33" s="60">
        <f t="shared" si="8"/>
        <v>35522775.821804203</v>
      </c>
      <c r="I33" s="60">
        <f t="shared" si="8"/>
        <v>37649864.186889231</v>
      </c>
      <c r="J33" s="60">
        <f t="shared" si="8"/>
        <v>39609766.70071882</v>
      </c>
      <c r="K33" s="60">
        <f t="shared" si="8"/>
        <v>40746566.610694908</v>
      </c>
      <c r="L33" s="60">
        <f t="shared" si="8"/>
        <v>42299237.07706067</v>
      </c>
    </row>
    <row r="35" spans="1:12" x14ac:dyDescent="0.25">
      <c r="A35" s="49" t="s">
        <v>766</v>
      </c>
    </row>
    <row r="36" spans="1:12" x14ac:dyDescent="0.25">
      <c r="A36" s="6"/>
    </row>
    <row r="37" spans="1:12" x14ac:dyDescent="0.25">
      <c r="A37" s="3" t="s">
        <v>767</v>
      </c>
    </row>
    <row r="38" spans="1:12" x14ac:dyDescent="0.25">
      <c r="A38" s="6" t="s">
        <v>768</v>
      </c>
      <c r="B38" s="51">
        <f>'[5]2017-18 Reserve'!$E$13</f>
        <v>219626</v>
      </c>
      <c r="C38" s="51">
        <f>[3]Sheet1!F92</f>
        <v>582920.80825974979</v>
      </c>
      <c r="D38" s="51">
        <f>[3]Sheet1!G92</f>
        <v>185094.98779994482</v>
      </c>
      <c r="E38" s="51">
        <f>[3]Sheet1!H92</f>
        <v>37520.094048632775</v>
      </c>
      <c r="F38" s="51">
        <f>[3]Sheet1!I92</f>
        <v>15164.582116223406</v>
      </c>
      <c r="G38" s="51">
        <f>[3]Sheet1!J92</f>
        <v>42994.760822630022</v>
      </c>
      <c r="H38" s="51">
        <f>[3]Sheet1!K92</f>
        <v>820974.69029971585</v>
      </c>
      <c r="I38" s="51">
        <f>[3]Sheet1!L92-300000</f>
        <v>901098.0752840261</v>
      </c>
      <c r="J38" s="51">
        <f>[3]Sheet1!M92-300000</f>
        <v>1881365.1027292451</v>
      </c>
      <c r="K38" s="51">
        <f>[3]Sheet1!N92-300000</f>
        <v>1911735.0472232187</v>
      </c>
      <c r="L38" s="51">
        <f>[3]Sheet1!O92-700000</f>
        <v>2292164.5742570837</v>
      </c>
    </row>
    <row r="39" spans="1:12" x14ac:dyDescent="0.25">
      <c r="A39" s="6" t="s">
        <v>769</v>
      </c>
      <c r="B39" s="51">
        <f>'[5]2017-18 Reserve'!$E$14</f>
        <v>3344498</v>
      </c>
      <c r="C39" s="51">
        <f>B39+150000</f>
        <v>3494498</v>
      </c>
      <c r="D39" s="51">
        <f t="shared" ref="D39:L39" si="9">C39+150000</f>
        <v>3644498</v>
      </c>
      <c r="E39" s="51">
        <f t="shared" si="9"/>
        <v>3794498</v>
      </c>
      <c r="F39" s="51">
        <f t="shared" si="9"/>
        <v>3944498</v>
      </c>
      <c r="G39" s="51">
        <f t="shared" si="9"/>
        <v>4094498</v>
      </c>
      <c r="H39" s="51">
        <f t="shared" si="9"/>
        <v>4244498</v>
      </c>
      <c r="I39" s="51">
        <f t="shared" si="9"/>
        <v>4394498</v>
      </c>
      <c r="J39" s="51">
        <f t="shared" si="9"/>
        <v>4544498</v>
      </c>
      <c r="K39" s="51">
        <f t="shared" si="9"/>
        <v>4694498</v>
      </c>
      <c r="L39" s="51">
        <f t="shared" si="9"/>
        <v>4844498</v>
      </c>
    </row>
    <row r="40" spans="1:12" x14ac:dyDescent="0.25">
      <c r="A40" s="6" t="s">
        <v>770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</row>
    <row r="41" spans="1:12" x14ac:dyDescent="0.25">
      <c r="A41" s="6" t="s">
        <v>771</v>
      </c>
      <c r="B41" s="51">
        <f>'[5]2017-18 Reserve'!$E$12</f>
        <v>3617792</v>
      </c>
      <c r="C41" s="51">
        <f>'[1]DW Strategy'!E51</f>
        <v>2141487.4287084132</v>
      </c>
      <c r="D41" s="51">
        <f>'[1]DW Strategy'!F51</f>
        <v>3306530.5348476595</v>
      </c>
      <c r="E41" s="51">
        <f>'[1]DW Strategy'!G51</f>
        <v>3692610.2447819952</v>
      </c>
      <c r="F41" s="51">
        <f>'[1]DW Strategy'!H51</f>
        <v>3796250.1940024989</v>
      </c>
      <c r="G41" s="51">
        <f>'[1]DW Strategy'!I51</f>
        <v>3080225.3121350901</v>
      </c>
      <c r="H41" s="51">
        <f>'[1]DW Strategy'!J51</f>
        <v>1352899.3789941519</v>
      </c>
      <c r="I41" s="51">
        <f>'[1]DW Strategy'!K51</f>
        <v>1591406.6328446032</v>
      </c>
      <c r="J41" s="51">
        <f>'[1]DW Strategy'!L51</f>
        <v>1542352.5263270796</v>
      </c>
      <c r="K41" s="51">
        <f>'[1]DW Strategy'!M51</f>
        <v>1758397.1981101395</v>
      </c>
      <c r="L41" s="51">
        <f>'[1]DW Strategy'!N51</f>
        <v>2485802.2497394071</v>
      </c>
    </row>
    <row r="42" spans="1:12" x14ac:dyDescent="0.25">
      <c r="A42" s="6" t="s">
        <v>772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</row>
    <row r="43" spans="1:12" x14ac:dyDescent="0.25">
      <c r="A43" s="6" t="s">
        <v>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</row>
    <row r="44" spans="1:12" x14ac:dyDescent="0.25">
      <c r="A44" s="3" t="s">
        <v>773</v>
      </c>
      <c r="B44" s="60">
        <f>SUBTOTAL(9,B38:B43)</f>
        <v>7181916</v>
      </c>
      <c r="C44" s="60">
        <f t="shared" ref="C44:L44" si="10">SUBTOTAL(9,C38:C43)</f>
        <v>6218906.2369681634</v>
      </c>
      <c r="D44" s="60">
        <f t="shared" si="10"/>
        <v>7136123.5226476043</v>
      </c>
      <c r="E44" s="60">
        <f t="shared" si="10"/>
        <v>7524628.3388306275</v>
      </c>
      <c r="F44" s="60">
        <f t="shared" si="10"/>
        <v>7755912.7761187218</v>
      </c>
      <c r="G44" s="60">
        <f t="shared" si="10"/>
        <v>7217718.0729577206</v>
      </c>
      <c r="H44" s="60">
        <f t="shared" si="10"/>
        <v>6418372.0692938678</v>
      </c>
      <c r="I44" s="60">
        <f t="shared" si="10"/>
        <v>6887002.7081286293</v>
      </c>
      <c r="J44" s="60">
        <f t="shared" si="10"/>
        <v>7968215.6290563252</v>
      </c>
      <c r="K44" s="60">
        <f t="shared" si="10"/>
        <v>8364630.2453333586</v>
      </c>
      <c r="L44" s="60">
        <f t="shared" si="10"/>
        <v>9622464.8239964899</v>
      </c>
    </row>
    <row r="46" spans="1:12" x14ac:dyDescent="0.25">
      <c r="A46" s="3" t="s">
        <v>774</v>
      </c>
    </row>
    <row r="47" spans="1:12" x14ac:dyDescent="0.25">
      <c r="A47" s="160" t="s">
        <v>775</v>
      </c>
      <c r="B47" s="161">
        <f>'[5]2017-18 Reserve'!$E$25</f>
        <v>2552263</v>
      </c>
      <c r="C47" s="161">
        <f>'[4]10 Year Plan'!C156+2000000</f>
        <v>3639122.0150524895</v>
      </c>
      <c r="D47" s="161">
        <f>'[4]10 Year Plan'!D156</f>
        <v>2034642.1093743378</v>
      </c>
      <c r="E47" s="161">
        <f>'[4]10 Year Plan'!E156</f>
        <v>1156787.9257331537</v>
      </c>
      <c r="F47" s="161">
        <f>'[4]10 Year Plan'!F156</f>
        <v>888922.40849402267</v>
      </c>
      <c r="G47" s="161">
        <f>'[4]10 Year Plan'!G156</f>
        <v>930163.1894104383</v>
      </c>
      <c r="H47" s="161">
        <f>'[4]10 Year Plan'!H156</f>
        <v>1633262.104733204</v>
      </c>
      <c r="I47" s="161">
        <f>'[4]10 Year Plan'!I156</f>
        <v>2693113.8739812556</v>
      </c>
      <c r="J47" s="161">
        <f>'[4]10 Year Plan'!J156</f>
        <v>2487353.7780687609</v>
      </c>
      <c r="K47" s="161">
        <f>'[4]10 Year Plan'!K156+2000000</f>
        <v>2692524.2002806556</v>
      </c>
      <c r="L47" s="161">
        <f>'[4]10 Year Plan'!L156+1000000</f>
        <v>2189138.3663564799</v>
      </c>
    </row>
    <row r="48" spans="1:12" x14ac:dyDescent="0.25">
      <c r="A48" s="160" t="s">
        <v>776</v>
      </c>
      <c r="B48" s="161">
        <f>'[5]2017-18 Reserve'!$E$21</f>
        <v>7881527</v>
      </c>
      <c r="C48" s="161">
        <f>B48*(1+Assumptions!C36+Assumptions!C38)</f>
        <v>8202060.321921031</v>
      </c>
      <c r="D48" s="161">
        <f>C48*(1+Assumptions!D36+Assumptions!D38)</f>
        <v>8535629.3931913618</v>
      </c>
      <c r="E48" s="161">
        <f>D48*(1+Assumptions!E36+Assumptions!E38)</f>
        <v>8882764.363874888</v>
      </c>
      <c r="F48" s="161">
        <f>E48*(1+Assumptions!F36+Assumptions!F38)</f>
        <v>9244016.9446748495</v>
      </c>
      <c r="G48" s="161">
        <f>F48*(1+Assumptions!G36+Assumptions!G38)</f>
        <v>9619961.2837820984</v>
      </c>
      <c r="H48" s="161">
        <f>G48*(1+Assumptions!H36+Assumptions!H38)</f>
        <v>10011194.879383862</v>
      </c>
      <c r="I48" s="161">
        <f>H48*(1+Assumptions!I36+Assumptions!I38)</f>
        <v>10418339.52928327</v>
      </c>
      <c r="J48" s="161">
        <f>I48*(1+Assumptions!J36+Assumptions!J38)</f>
        <v>10842042.319138886</v>
      </c>
      <c r="K48" s="161">
        <f>J48*(1+Assumptions!K36+Assumptions!K38)</f>
        <v>11282976.650894901</v>
      </c>
      <c r="L48" s="161">
        <f>K48*(1+Assumptions!L36+Assumptions!L38)</f>
        <v>11741843.313036485</v>
      </c>
    </row>
    <row r="49" spans="1:15" x14ac:dyDescent="0.25">
      <c r="A49" s="6" t="s">
        <v>777</v>
      </c>
      <c r="B49" s="51">
        <f>'[5]2017-18 Reserve'!$E$27</f>
        <v>2995671</v>
      </c>
      <c r="C49" s="51">
        <v>3000000</v>
      </c>
      <c r="D49" s="51">
        <f t="shared" ref="D49:L49" si="11">C49</f>
        <v>3000000</v>
      </c>
      <c r="E49" s="51">
        <f t="shared" si="11"/>
        <v>3000000</v>
      </c>
      <c r="F49" s="51">
        <v>4000000</v>
      </c>
      <c r="G49" s="51">
        <f t="shared" si="11"/>
        <v>4000000</v>
      </c>
      <c r="H49" s="51">
        <f t="shared" si="11"/>
        <v>4000000</v>
      </c>
      <c r="I49" s="51">
        <v>6000000</v>
      </c>
      <c r="J49" s="51">
        <f t="shared" si="11"/>
        <v>6000000</v>
      </c>
      <c r="K49" s="51">
        <f t="shared" si="11"/>
        <v>6000000</v>
      </c>
      <c r="L49" s="51">
        <f t="shared" si="11"/>
        <v>6000000</v>
      </c>
    </row>
    <row r="50" spans="1:15" x14ac:dyDescent="0.25">
      <c r="A50" s="160" t="s">
        <v>778</v>
      </c>
      <c r="B50" s="161">
        <f>'[5]2017-18 Reserve'!$E$30</f>
        <v>533188</v>
      </c>
      <c r="C50" s="161">
        <f>B50</f>
        <v>533188</v>
      </c>
      <c r="D50" s="161">
        <f t="shared" ref="D50:L50" si="12">C50</f>
        <v>533188</v>
      </c>
      <c r="E50" s="161">
        <f t="shared" si="12"/>
        <v>533188</v>
      </c>
      <c r="F50" s="161">
        <f t="shared" si="12"/>
        <v>533188</v>
      </c>
      <c r="G50" s="161">
        <f t="shared" si="12"/>
        <v>533188</v>
      </c>
      <c r="H50" s="161">
        <f t="shared" si="12"/>
        <v>533188</v>
      </c>
      <c r="I50" s="161">
        <f t="shared" si="12"/>
        <v>533188</v>
      </c>
      <c r="J50" s="161">
        <f t="shared" si="12"/>
        <v>533188</v>
      </c>
      <c r="K50" s="161">
        <f t="shared" si="12"/>
        <v>533188</v>
      </c>
      <c r="L50" s="161">
        <f t="shared" si="12"/>
        <v>533188</v>
      </c>
    </row>
    <row r="51" spans="1:15" x14ac:dyDescent="0.25">
      <c r="A51" s="160" t="s">
        <v>663</v>
      </c>
      <c r="B51" s="161">
        <f>'[5]2017-18 Reserve'!$E$32</f>
        <v>5174737</v>
      </c>
      <c r="C51" s="161">
        <f>'[5]2017-18 Reserve'!$E$32-3000000</f>
        <v>2174737</v>
      </c>
      <c r="D51" s="161">
        <f>'[5]2017-18 Reserve'!$E$32-3000000</f>
        <v>2174737</v>
      </c>
      <c r="E51" s="161">
        <f>'[5]2017-18 Reserve'!$E$32-3000000</f>
        <v>2174737</v>
      </c>
      <c r="F51" s="161">
        <f>'[5]2017-18 Reserve'!$E$32-3000000</f>
        <v>2174737</v>
      </c>
      <c r="G51" s="161">
        <f>'[5]2017-18 Reserve'!$E$32-3000000</f>
        <v>2174737</v>
      </c>
      <c r="H51" s="161">
        <f>'[5]2017-18 Reserve'!$E$32-3000000</f>
        <v>2174737</v>
      </c>
      <c r="I51" s="161">
        <f>'[5]2017-18 Reserve'!$E$32-3000000</f>
        <v>2174737</v>
      </c>
      <c r="J51" s="161">
        <f>'[5]2017-18 Reserve'!$E$32-3000000</f>
        <v>2174737</v>
      </c>
      <c r="K51" s="161">
        <f>'[5]2017-18 Reserve'!$E$32-3000000</f>
        <v>2174737</v>
      </c>
      <c r="L51" s="161">
        <f>'[5]2017-18 Reserve'!$E$32-3000000</f>
        <v>2174737</v>
      </c>
    </row>
    <row r="52" spans="1:15" x14ac:dyDescent="0.25">
      <c r="A52" s="160" t="s">
        <v>779</v>
      </c>
      <c r="B52" s="161">
        <f>'[5]2017-18 Reserve'!$E$19</f>
        <v>504532</v>
      </c>
      <c r="C52" s="161">
        <v>1000000</v>
      </c>
      <c r="D52" s="161">
        <v>500000</v>
      </c>
      <c r="E52" s="161">
        <v>1750000</v>
      </c>
      <c r="F52" s="161">
        <v>250000</v>
      </c>
      <c r="G52" s="161">
        <v>500000</v>
      </c>
      <c r="H52" s="161">
        <v>750000</v>
      </c>
      <c r="I52" s="161">
        <v>1000000</v>
      </c>
      <c r="J52" s="161">
        <v>500000</v>
      </c>
      <c r="K52" s="161">
        <v>500000</v>
      </c>
      <c r="L52" s="161">
        <v>1250000</v>
      </c>
    </row>
    <row r="53" spans="1:15" x14ac:dyDescent="0.25">
      <c r="A53" s="160" t="s">
        <v>780</v>
      </c>
      <c r="B53" s="161">
        <f>'[5]2017-18 Reserve'!$E$20</f>
        <v>0</v>
      </c>
      <c r="C53" s="161">
        <v>225000</v>
      </c>
      <c r="D53" s="161">
        <v>450000</v>
      </c>
      <c r="E53" s="161">
        <v>0</v>
      </c>
      <c r="F53" s="161">
        <v>200000</v>
      </c>
      <c r="G53" s="161">
        <v>400000</v>
      </c>
      <c r="H53" s="161">
        <v>600000</v>
      </c>
      <c r="I53" s="161">
        <v>0</v>
      </c>
      <c r="J53" s="161">
        <v>300000</v>
      </c>
      <c r="K53" s="161">
        <v>600000</v>
      </c>
      <c r="L53" s="161">
        <v>900000</v>
      </c>
    </row>
    <row r="54" spans="1:15" x14ac:dyDescent="0.25">
      <c r="A54" s="6" t="s">
        <v>781</v>
      </c>
      <c r="B54" s="51">
        <f>'[5]2017-18 Reserve'!$E$22</f>
        <v>464082</v>
      </c>
      <c r="C54" s="51">
        <v>1000000</v>
      </c>
      <c r="D54" s="51">
        <v>1000000</v>
      </c>
      <c r="E54" s="51">
        <f>'[6]ICT Strategy'!K113</f>
        <v>1214082</v>
      </c>
      <c r="F54" s="51">
        <f>'[6]ICT Strategy'!L113</f>
        <v>1464082</v>
      </c>
      <c r="G54" s="51">
        <f>'[6]ICT Strategy'!M113</f>
        <v>1714082</v>
      </c>
      <c r="H54" s="51">
        <f>'[6]ICT Strategy'!N113</f>
        <v>1964081.9999999991</v>
      </c>
      <c r="I54" s="51">
        <f>'[6]ICT Strategy'!O113</f>
        <v>2214082</v>
      </c>
      <c r="J54" s="51">
        <f>'[6]ICT Strategy'!P113</f>
        <v>2464081.9999999991</v>
      </c>
      <c r="K54" s="51">
        <f>'[6]ICT Strategy'!Q113</f>
        <v>2464082.0000000009</v>
      </c>
      <c r="L54" s="51">
        <f>K54</f>
        <v>2464082.0000000009</v>
      </c>
      <c r="M54" s="44"/>
      <c r="N54" s="44"/>
      <c r="O54" s="44"/>
    </row>
    <row r="55" spans="1:15" x14ac:dyDescent="0.25">
      <c r="A55" s="160" t="s">
        <v>782</v>
      </c>
      <c r="B55" s="161">
        <f>'[5]2017-18 Reserve'!$E$23+'[5]2017-18 Reserve'!$E$29+'[5]2017-18 Reserve'!$E$31+'[5]2017-18 Reserve'!$E$35+'[5]2017-18 Reserve'!$E$36+'[5]2017-18 Reserve'!$E$37</f>
        <v>8593334</v>
      </c>
      <c r="C55" s="161">
        <f>3000000+2000000</f>
        <v>5000000</v>
      </c>
      <c r="D55" s="161">
        <v>5000000</v>
      </c>
      <c r="E55" s="161">
        <v>3000000</v>
      </c>
      <c r="F55" s="161">
        <v>3000000</v>
      </c>
      <c r="G55" s="161">
        <v>3000000</v>
      </c>
      <c r="H55" s="161">
        <v>3000000</v>
      </c>
      <c r="I55" s="161">
        <v>2800000</v>
      </c>
      <c r="J55" s="161">
        <v>3000000</v>
      </c>
      <c r="K55" s="161">
        <v>3000000</v>
      </c>
      <c r="L55" s="161">
        <v>2500000</v>
      </c>
      <c r="M55" s="44"/>
      <c r="N55" s="44"/>
      <c r="O55" s="44"/>
    </row>
    <row r="56" spans="1:15" x14ac:dyDescent="0.25">
      <c r="A56" s="6" t="s">
        <v>783</v>
      </c>
      <c r="B56" s="51">
        <f>'[5]2017-18 Reserve'!$E$24</f>
        <v>171734</v>
      </c>
      <c r="C56" s="51">
        <f>B56</f>
        <v>171734</v>
      </c>
      <c r="D56" s="51">
        <f t="shared" ref="D56:L56" si="13">C56</f>
        <v>171734</v>
      </c>
      <c r="E56" s="51">
        <f t="shared" si="13"/>
        <v>171734</v>
      </c>
      <c r="F56" s="51">
        <f t="shared" si="13"/>
        <v>171734</v>
      </c>
      <c r="G56" s="51">
        <f t="shared" si="13"/>
        <v>171734</v>
      </c>
      <c r="H56" s="51">
        <f t="shared" si="13"/>
        <v>171734</v>
      </c>
      <c r="I56" s="51">
        <f t="shared" si="13"/>
        <v>171734</v>
      </c>
      <c r="J56" s="51">
        <f t="shared" si="13"/>
        <v>171734</v>
      </c>
      <c r="K56" s="51">
        <f t="shared" si="13"/>
        <v>171734</v>
      </c>
      <c r="L56" s="51">
        <f t="shared" si="13"/>
        <v>171734</v>
      </c>
      <c r="M56" s="44"/>
      <c r="N56" s="44"/>
      <c r="O56" s="44"/>
    </row>
    <row r="57" spans="1:15" x14ac:dyDescent="0.25">
      <c r="A57" s="6" t="s">
        <v>784</v>
      </c>
      <c r="B57" s="51">
        <f>'[5]2017-18 Reserve'!$E$33</f>
        <v>15187</v>
      </c>
      <c r="C57" s="51">
        <f>B57</f>
        <v>15187</v>
      </c>
      <c r="D57" s="51">
        <f t="shared" ref="D57:L57" si="14">C57</f>
        <v>15187</v>
      </c>
      <c r="E57" s="51">
        <f t="shared" si="14"/>
        <v>15187</v>
      </c>
      <c r="F57" s="51">
        <f t="shared" si="14"/>
        <v>15187</v>
      </c>
      <c r="G57" s="51">
        <f t="shared" si="14"/>
        <v>15187</v>
      </c>
      <c r="H57" s="51">
        <f t="shared" si="14"/>
        <v>15187</v>
      </c>
      <c r="I57" s="51">
        <f t="shared" si="14"/>
        <v>15187</v>
      </c>
      <c r="J57" s="51">
        <f t="shared" si="14"/>
        <v>15187</v>
      </c>
      <c r="K57" s="51">
        <f t="shared" si="14"/>
        <v>15187</v>
      </c>
      <c r="L57" s="51">
        <f t="shared" si="14"/>
        <v>15187</v>
      </c>
      <c r="M57" s="44"/>
      <c r="N57" s="44"/>
      <c r="O57" s="44"/>
    </row>
    <row r="58" spans="1:15" s="44" customFormat="1" x14ac:dyDescent="0.25">
      <c r="A58" s="6" t="s">
        <v>1199</v>
      </c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</row>
    <row r="59" spans="1:15" x14ac:dyDescent="0.25">
      <c r="A59" s="6" t="s">
        <v>785</v>
      </c>
      <c r="B59" s="51">
        <f>'[5]2017-18 Reserve'!$E$26</f>
        <v>1144060</v>
      </c>
      <c r="C59" s="51">
        <f>B59</f>
        <v>1144060</v>
      </c>
      <c r="D59" s="51">
        <f t="shared" ref="D59:L59" si="15">C59</f>
        <v>1144060</v>
      </c>
      <c r="E59" s="51">
        <f t="shared" si="15"/>
        <v>1144060</v>
      </c>
      <c r="F59" s="51">
        <f t="shared" si="15"/>
        <v>1144060</v>
      </c>
      <c r="G59" s="51">
        <f t="shared" si="15"/>
        <v>1144060</v>
      </c>
      <c r="H59" s="51">
        <f t="shared" si="15"/>
        <v>1144060</v>
      </c>
      <c r="I59" s="51">
        <f t="shared" si="15"/>
        <v>1144060</v>
      </c>
      <c r="J59" s="51">
        <f t="shared" si="15"/>
        <v>1144060</v>
      </c>
      <c r="K59" s="51">
        <f t="shared" si="15"/>
        <v>1144060</v>
      </c>
      <c r="L59" s="51">
        <f t="shared" si="15"/>
        <v>1144060</v>
      </c>
    </row>
    <row r="60" spans="1:15" x14ac:dyDescent="0.25">
      <c r="A60" s="160" t="s">
        <v>786</v>
      </c>
      <c r="B60" s="161">
        <f>'[5]2017-18 Reserve'!$E$28</f>
        <v>1589434</v>
      </c>
      <c r="C60" s="161">
        <f>[7]Projections!N31</f>
        <v>1327887.5822923109</v>
      </c>
      <c r="D60" s="161">
        <f>[7]Projections!O31</f>
        <v>1198342.0645195646</v>
      </c>
      <c r="E60" s="161">
        <f>[7]Projections!P31</f>
        <v>1064544.8171868417</v>
      </c>
      <c r="F60" s="161">
        <f>[7]Projections!Q31</f>
        <v>926393.13585886883</v>
      </c>
      <c r="G60" s="161">
        <f>[7]Projections!R31</f>
        <v>783782.07401806128</v>
      </c>
      <c r="H60" s="161">
        <f>[7]Projections!S31</f>
        <v>636604.39622277021</v>
      </c>
      <c r="I60" s="161">
        <f>[7]Projections!T31</f>
        <v>484750.53030741296</v>
      </c>
      <c r="J60" s="161">
        <f>[7]Projections!U31</f>
        <v>328108.51860510127</v>
      </c>
      <c r="K60" s="161">
        <f>[7]Projections!V31</f>
        <v>166563.96817298644</v>
      </c>
      <c r="L60" s="161">
        <f>[7]Projections!W31</f>
        <v>1.4586839824914932E-7</v>
      </c>
    </row>
    <row r="61" spans="1:15" x14ac:dyDescent="0.25">
      <c r="A61" s="3" t="s">
        <v>787</v>
      </c>
      <c r="B61" s="60">
        <f t="shared" ref="B61:L61" si="16">SUBTOTAL(9,B47:B60)</f>
        <v>31619749</v>
      </c>
      <c r="C61" s="60">
        <f>SUBTOTAL(9,C47:C60)</f>
        <v>27432975.919265829</v>
      </c>
      <c r="D61" s="60">
        <f t="shared" si="16"/>
        <v>25757519.567085266</v>
      </c>
      <c r="E61" s="60">
        <f t="shared" si="16"/>
        <v>24107085.106794886</v>
      </c>
      <c r="F61" s="60">
        <f t="shared" si="16"/>
        <v>24012320.489027739</v>
      </c>
      <c r="G61" s="60">
        <f t="shared" si="16"/>
        <v>24986894.547210597</v>
      </c>
      <c r="H61" s="60">
        <f t="shared" si="16"/>
        <v>26634049.380339839</v>
      </c>
      <c r="I61" s="60">
        <f t="shared" si="16"/>
        <v>29649191.933571938</v>
      </c>
      <c r="J61" s="60">
        <f t="shared" si="16"/>
        <v>29960492.615812749</v>
      </c>
      <c r="K61" s="60">
        <f t="shared" si="16"/>
        <v>30745052.81934854</v>
      </c>
      <c r="L61" s="60">
        <f t="shared" si="16"/>
        <v>31083969.679393109</v>
      </c>
    </row>
    <row r="64" spans="1:15" ht="15.75" x14ac:dyDescent="0.25">
      <c r="A64" s="28" t="s">
        <v>788</v>
      </c>
    </row>
    <row r="65" spans="1:14" x14ac:dyDescent="0.25">
      <c r="A65" s="44"/>
    </row>
    <row r="66" spans="1:14" x14ac:dyDescent="0.25">
      <c r="A66" s="100" t="s">
        <v>789</v>
      </c>
    </row>
    <row r="67" spans="1:14" x14ac:dyDescent="0.25">
      <c r="A67" s="6" t="s">
        <v>749</v>
      </c>
      <c r="B67" s="51">
        <v>2484417.6944074626</v>
      </c>
      <c r="C67" s="51">
        <f>B67*(1+Assumptions!C$16)</f>
        <v>2688589.3858212726</v>
      </c>
      <c r="D67" s="51">
        <f>C67*(1+Assumptions!D$16)</f>
        <v>2852452.6632416528</v>
      </c>
      <c r="E67" s="51">
        <f>D67*(1+Assumptions!E$16)</f>
        <v>3026209.3322598785</v>
      </c>
      <c r="F67" s="51">
        <f>E67*(1+Assumptions!F$16)</f>
        <v>3119060.5651814523</v>
      </c>
      <c r="G67" s="51">
        <f>F67*(1+Assumptions!G$16)</f>
        <v>3214660.5498742135</v>
      </c>
      <c r="H67" s="51">
        <f>G67*(1+Assumptions!H$16)</f>
        <v>3313088.6455100523</v>
      </c>
      <c r="I67" s="51">
        <f>H67*(1+Assumptions!I$16)</f>
        <v>3414426.4602818112</v>
      </c>
      <c r="J67" s="51">
        <f>I67*(1+Assumptions!J$16)</f>
        <v>3518757.9142341674</v>
      </c>
      <c r="K67" s="51">
        <f>J67*(1+Assumptions!K$16)</f>
        <v>3626169.3038299652</v>
      </c>
      <c r="L67" s="51">
        <f>K67*(1+Assumptions!L$16)</f>
        <v>3736749.368299494</v>
      </c>
      <c r="N67" s="191"/>
    </row>
    <row r="68" spans="1:14" x14ac:dyDescent="0.25">
      <c r="A68" s="6" t="s">
        <v>790</v>
      </c>
      <c r="B68" s="51">
        <v>178289.84559253755</v>
      </c>
      <c r="C68" s="51">
        <f>B68*(1+Assumptions!C$16)</f>
        <v>192941.8662324152</v>
      </c>
      <c r="D68" s="51">
        <f>C68*(1+Assumptions!D$16)</f>
        <v>204701.22477157364</v>
      </c>
      <c r="E68" s="51">
        <f>D68*(1+Assumptions!E$16)</f>
        <v>217170.56507601132</v>
      </c>
      <c r="F68" s="51">
        <f>E68*(1+Assumptions!F$16)</f>
        <v>223833.86972801443</v>
      </c>
      <c r="G68" s="51">
        <f>F68*(1+Assumptions!G$16)</f>
        <v>230694.43369352206</v>
      </c>
      <c r="H68" s="51">
        <f>G68*(1+Assumptions!H$16)</f>
        <v>237757.95204326822</v>
      </c>
      <c r="I68" s="51">
        <f>H68*(1+Assumptions!I$16)</f>
        <v>245030.28124500142</v>
      </c>
      <c r="J68" s="51">
        <f>I68*(1+Assumptions!J$16)</f>
        <v>252517.44367243169</v>
      </c>
      <c r="K68" s="51">
        <f>J68*(1+Assumptions!K$16)</f>
        <v>260225.63223871947</v>
      </c>
      <c r="L68" s="51">
        <f>K68*(1+Assumptions!L$16)</f>
        <v>268161.21515791427</v>
      </c>
      <c r="N68" s="191"/>
    </row>
    <row r="69" spans="1:14" x14ac:dyDescent="0.25">
      <c r="A69" s="6" t="s">
        <v>28</v>
      </c>
      <c r="B69" s="51">
        <v>1917799.4699999997</v>
      </c>
      <c r="C69" s="51">
        <f>B69*(1+Assumptions!C$24)</f>
        <v>1988281.865488756</v>
      </c>
      <c r="D69" s="51">
        <f>C69*(1+Assumptions!D$24)</f>
        <v>2061354.6090047923</v>
      </c>
      <c r="E69" s="51">
        <f>D69*(1+Assumptions!E$24)</f>
        <v>2137112.9002480609</v>
      </c>
      <c r="F69" s="51">
        <f>E69*(1+Assumptions!F$24)</f>
        <v>2215655.4376695603</v>
      </c>
      <c r="G69" s="51">
        <f>F69*(1+Assumptions!G$24)</f>
        <v>2297084.5470563928</v>
      </c>
      <c r="H69" s="51">
        <f>G69*(1+Assumptions!H$24)</f>
        <v>2381506.3148425417</v>
      </c>
      <c r="I69" s="51">
        <f>H69*(1+Assumptions!I$24)</f>
        <v>2469030.7263190462</v>
      </c>
      <c r="J69" s="51">
        <f>I69*(1+Assumptions!J$24)</f>
        <v>2559771.808923637</v>
      </c>
      <c r="K69" s="51">
        <f>J69*(1+Assumptions!K$24)</f>
        <v>2653847.7807965069</v>
      </c>
      <c r="L69" s="51">
        <f>K69*(1+Assumptions!L$24)</f>
        <v>2751381.2047957624</v>
      </c>
      <c r="N69" s="191"/>
    </row>
    <row r="70" spans="1:14" x14ac:dyDescent="0.25">
      <c r="A70" s="6" t="s">
        <v>791</v>
      </c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N70" s="191"/>
    </row>
    <row r="71" spans="1:14" x14ac:dyDescent="0.25">
      <c r="A71" s="93" t="s">
        <v>792</v>
      </c>
      <c r="B71" s="51">
        <v>0</v>
      </c>
      <c r="C71" s="51">
        <f>0.02*'Note 4 to 5'!D98</f>
        <v>40535.374864072073</v>
      </c>
      <c r="D71" s="51">
        <f>0.02*'Note 4 to 5'!E98</f>
        <v>19160.861886436964</v>
      </c>
      <c r="E71" s="51">
        <f>0.02*'Note 4 to 5'!F98</f>
        <v>42244.240327176325</v>
      </c>
      <c r="F71" s="51">
        <f>0.02*'Note 4 to 5'!G98</f>
        <v>29841.44565521738</v>
      </c>
      <c r="G71" s="51">
        <f>0.02*'Note 4 to 5'!H98</f>
        <v>27684.375618328311</v>
      </c>
      <c r="H71" s="51">
        <f>0.02*'Note 4 to 5'!I98</f>
        <v>41047.094306455307</v>
      </c>
      <c r="I71" s="51">
        <f>0.02*'Note 4 to 5'!J98</f>
        <v>28062.147384961034</v>
      </c>
      <c r="J71" s="51">
        <f>0.02*'Note 4 to 5'!K98</f>
        <v>33162.118081750108</v>
      </c>
      <c r="K71" s="51">
        <f>0.02*'Note 4 to 5'!L98</f>
        <v>49776.788444237907</v>
      </c>
      <c r="L71" s="51">
        <f>0.02*'Note 4 to 5'!M98</f>
        <v>27058.343321516488</v>
      </c>
      <c r="N71" s="191"/>
    </row>
    <row r="72" spans="1:14" x14ac:dyDescent="0.25">
      <c r="A72" s="6" t="s">
        <v>793</v>
      </c>
      <c r="B72" s="101"/>
      <c r="C72" s="51"/>
      <c r="D72" s="51"/>
      <c r="E72" s="51"/>
      <c r="F72" s="51"/>
      <c r="G72" s="51"/>
      <c r="H72" s="51"/>
      <c r="I72" s="51"/>
      <c r="J72" s="51"/>
      <c r="K72" s="51"/>
      <c r="L72" s="51"/>
      <c r="N72" s="191"/>
    </row>
    <row r="73" spans="1:14" x14ac:dyDescent="0.25">
      <c r="A73" s="93" t="s">
        <v>794</v>
      </c>
      <c r="B73" s="51">
        <v>445075.26</v>
      </c>
      <c r="C73" s="51">
        <f>B73*C21/B21</f>
        <v>398616.56478104688</v>
      </c>
      <c r="D73" s="51">
        <f t="shared" ref="D73:L73" si="17">C73*D21/C21</f>
        <v>387001.89097630861</v>
      </c>
      <c r="E73" s="51">
        <f t="shared" si="17"/>
        <v>363772.54336683208</v>
      </c>
      <c r="F73" s="51">
        <f t="shared" si="17"/>
        <v>369579.88026920118</v>
      </c>
      <c r="G73" s="51">
        <f t="shared" si="17"/>
        <v>381194.55407393945</v>
      </c>
      <c r="H73" s="51">
        <f t="shared" si="17"/>
        <v>398616.56478104688</v>
      </c>
      <c r="I73" s="51">
        <f t="shared" si="17"/>
        <v>421845.91239052342</v>
      </c>
      <c r="J73" s="51">
        <f t="shared" si="17"/>
        <v>445075.25999999995</v>
      </c>
      <c r="K73" s="51">
        <f t="shared" si="17"/>
        <v>450882.59690236906</v>
      </c>
      <c r="L73" s="51">
        <f t="shared" si="17"/>
        <v>468304.60760947649</v>
      </c>
      <c r="N73" s="191"/>
    </row>
    <row r="74" spans="1:14" x14ac:dyDescent="0.25">
      <c r="A74" s="93" t="s">
        <v>795</v>
      </c>
      <c r="B74" s="51">
        <f>504946+491470+64393</f>
        <v>1060809</v>
      </c>
      <c r="C74" s="51">
        <f>B74*(1+Assumptions!C$24)</f>
        <v>1099795.5367290105</v>
      </c>
      <c r="D74" s="51">
        <f>C74*(1+Assumptions!D$24)</f>
        <v>1140214.8950556156</v>
      </c>
      <c r="E74" s="51">
        <f>D74*(1+Assumptions!E$24)</f>
        <v>1182119.7336128401</v>
      </c>
      <c r="F74" s="51">
        <f>E74*(1+Assumptions!F$24)</f>
        <v>1225564.6463281217</v>
      </c>
      <c r="G74" s="51">
        <f>F74*(1+Assumptions!G$24)</f>
        <v>1270606.2335486752</v>
      </c>
      <c r="H74" s="51">
        <f>G74*(1+Assumptions!H$24)</f>
        <v>1317303.1757808351</v>
      </c>
      <c r="I74" s="51">
        <f>H74*(1+Assumptions!I$24)</f>
        <v>1365716.3101394442</v>
      </c>
      <c r="J74" s="51">
        <f>I74*(1+Assumptions!J$24)</f>
        <v>1415908.7096068887</v>
      </c>
      <c r="K74" s="51">
        <f>J74*(1+Assumptions!K$24)</f>
        <v>1467945.7652050359</v>
      </c>
      <c r="L74" s="51">
        <f>K74*(1+Assumptions!L$24)</f>
        <v>1521895.2711871322</v>
      </c>
      <c r="N74" s="191"/>
    </row>
    <row r="75" spans="1:14" x14ac:dyDescent="0.25">
      <c r="A75" s="6" t="s">
        <v>796</v>
      </c>
      <c r="B75" s="51">
        <v>727916.61</v>
      </c>
      <c r="C75" s="51">
        <f>B75*(1+Assumptions!C$26)</f>
        <v>746114.52524999995</v>
      </c>
      <c r="D75" s="51">
        <f>C75*(1+Assumptions!D$26)</f>
        <v>764767.38838124985</v>
      </c>
      <c r="E75" s="51">
        <f>D75*(1+Assumptions!E$26)</f>
        <v>783886.57309078099</v>
      </c>
      <c r="F75" s="51">
        <f>E75*(1+Assumptions!F$26)</f>
        <v>803483.73741805041</v>
      </c>
      <c r="G75" s="51">
        <f>F75*(1+Assumptions!G$26)</f>
        <v>823570.83085350157</v>
      </c>
      <c r="H75" s="51">
        <f>G75*(1+Assumptions!H$26)</f>
        <v>844160.10162483901</v>
      </c>
      <c r="I75" s="51">
        <f>H75*(1+Assumptions!I$26)</f>
        <v>865264.10416545987</v>
      </c>
      <c r="J75" s="51">
        <f>I75*(1+Assumptions!J$26)</f>
        <v>886895.70676959632</v>
      </c>
      <c r="K75" s="51">
        <f>J75*(1+Assumptions!K$26)</f>
        <v>909068.0994388361</v>
      </c>
      <c r="L75" s="51">
        <f>K75*(1+Assumptions!L$26)</f>
        <v>931794.8019248069</v>
      </c>
      <c r="N75" s="191"/>
    </row>
    <row r="76" spans="1:14" x14ac:dyDescent="0.25">
      <c r="A76" s="6" t="s">
        <v>797</v>
      </c>
      <c r="B76" s="51">
        <v>1007206</v>
      </c>
      <c r="C76" s="51">
        <f>B76*(1+Assumptions!C$24)</f>
        <v>1044222.5352223443</v>
      </c>
      <c r="D76" s="51">
        <f>C76*(1+Assumptions!D$24)</f>
        <v>1082599.4911330752</v>
      </c>
      <c r="E76" s="51">
        <f>D76*(1+Assumptions!E$24)</f>
        <v>1122386.865508545</v>
      </c>
      <c r="F76" s="51">
        <f>E76*(1+Assumptions!F$24)</f>
        <v>1163636.4936285061</v>
      </c>
      <c r="G76" s="51">
        <f>F76*(1+Assumptions!G$24)</f>
        <v>1206402.115807489</v>
      </c>
      <c r="H76" s="51">
        <f>G76*(1+Assumptions!H$24)</f>
        <v>1250739.4474080738</v>
      </c>
      <c r="I76" s="51">
        <f>H76*(1+Assumptions!I$24)</f>
        <v>1296706.2514272679</v>
      </c>
      <c r="J76" s="51">
        <f>I76*(1+Assumptions!J$24)</f>
        <v>1344362.4137505577</v>
      </c>
      <c r="K76" s="51">
        <f>J76*(1+Assumptions!K$24)</f>
        <v>1393770.0211716744</v>
      </c>
      <c r="L76" s="51">
        <f>K76*(1+Assumptions!L$24)</f>
        <v>1444993.4422797186</v>
      </c>
      <c r="N76" s="191"/>
    </row>
    <row r="77" spans="1:14" x14ac:dyDescent="0.25">
      <c r="A77" s="6" t="s">
        <v>798</v>
      </c>
      <c r="B77" s="51">
        <v>0</v>
      </c>
      <c r="C77" s="51">
        <f>B77*(1+Assumptions!C$24)</f>
        <v>0</v>
      </c>
      <c r="D77" s="51">
        <f>C77*(1+Assumptions!D$24)</f>
        <v>0</v>
      </c>
      <c r="E77" s="51">
        <f>D77*(1+Assumptions!E$24)</f>
        <v>0</v>
      </c>
      <c r="F77" s="51">
        <f>E77*(1+Assumptions!F$24)</f>
        <v>0</v>
      </c>
      <c r="G77" s="51">
        <f>F77*(1+Assumptions!G$24)</f>
        <v>0</v>
      </c>
      <c r="H77" s="51">
        <f>G77*(1+Assumptions!H$24)</f>
        <v>0</v>
      </c>
      <c r="I77" s="51">
        <f>H77*(1+Assumptions!I$24)</f>
        <v>0</v>
      </c>
      <c r="J77" s="51">
        <f>I77*(1+Assumptions!J$24)</f>
        <v>0</v>
      </c>
      <c r="K77" s="51">
        <f>J77*(1+Assumptions!K$24)</f>
        <v>0</v>
      </c>
      <c r="L77" s="51">
        <f>K77*(1+Assumptions!L$24)</f>
        <v>0</v>
      </c>
      <c r="N77" s="191"/>
    </row>
    <row r="78" spans="1:14" x14ac:dyDescent="0.25">
      <c r="A78" s="3" t="s">
        <v>799</v>
      </c>
      <c r="B78" s="60">
        <f>SUBTOTAL(9,B67:B77)</f>
        <v>7821513.8799999999</v>
      </c>
      <c r="C78" s="60">
        <f t="shared" ref="C78:L78" si="18">SUBTOTAL(9,C67:C77)</f>
        <v>8199097.6543889167</v>
      </c>
      <c r="D78" s="60">
        <f t="shared" si="18"/>
        <v>8512253.0244507045</v>
      </c>
      <c r="E78" s="60">
        <f t="shared" si="18"/>
        <v>8874902.7534901258</v>
      </c>
      <c r="F78" s="60">
        <f t="shared" si="18"/>
        <v>9150656.0758781228</v>
      </c>
      <c r="G78" s="60">
        <f t="shared" si="18"/>
        <v>9451897.6405260619</v>
      </c>
      <c r="H78" s="60">
        <f t="shared" si="18"/>
        <v>9784219.2962971125</v>
      </c>
      <c r="I78" s="60">
        <f t="shared" si="18"/>
        <v>10106082.193353515</v>
      </c>
      <c r="J78" s="60">
        <f t="shared" si="18"/>
        <v>10456451.375039028</v>
      </c>
      <c r="K78" s="60">
        <f t="shared" si="18"/>
        <v>10811685.988027344</v>
      </c>
      <c r="L78" s="60">
        <f t="shared" si="18"/>
        <v>11150338.254575823</v>
      </c>
      <c r="N78" s="191"/>
    </row>
    <row r="79" spans="1:14" x14ac:dyDescent="0.25">
      <c r="N79" s="191"/>
    </row>
    <row r="80" spans="1:14" x14ac:dyDescent="0.25">
      <c r="A80" s="49" t="s">
        <v>800</v>
      </c>
      <c r="N80" s="191"/>
    </row>
    <row r="81" spans="1:14" x14ac:dyDescent="0.25">
      <c r="A81" s="6" t="s">
        <v>28</v>
      </c>
      <c r="B81" s="58">
        <v>-185449.46</v>
      </c>
      <c r="C81" s="58">
        <f>B81*(1+Assumptions!C$24)</f>
        <v>-192265.04337425981</v>
      </c>
      <c r="D81" s="58">
        <f>C81*(1+Assumptions!D$24)</f>
        <v>-199331.11104074397</v>
      </c>
      <c r="E81" s="58">
        <f>D81*(1+Assumptions!E$24)</f>
        <v>-206656.86872362983</v>
      </c>
      <c r="F81" s="58">
        <f>E81*(1+Assumptions!F$24)</f>
        <v>-214251.86047313054</v>
      </c>
      <c r="G81" s="58">
        <f>F81*(1+Assumptions!G$24)</f>
        <v>-222125.98109955297</v>
      </c>
      <c r="H81" s="58">
        <f>G81*(1+Assumptions!H$24)</f>
        <v>-230289.4890643282</v>
      </c>
      <c r="I81" s="58">
        <f>H81*(1+Assumptions!I$24)</f>
        <v>-238753.01984480943</v>
      </c>
      <c r="J81" s="58">
        <f>I81*(1+Assumptions!J$24)</f>
        <v>-247527.59979024905</v>
      </c>
      <c r="K81" s="58">
        <f>J81*(1+Assumptions!K$24)</f>
        <v>-256624.6604870063</v>
      </c>
      <c r="L81" s="58">
        <f>K81*(1+Assumptions!L$24)</f>
        <v>-266056.0536517009</v>
      </c>
      <c r="N81" s="191"/>
    </row>
    <row r="82" spans="1:14" x14ac:dyDescent="0.25">
      <c r="A82" s="49" t="s">
        <v>801</v>
      </c>
      <c r="B82" s="102">
        <f>SUBTOTAL(9,B81)</f>
        <v>-185449.46</v>
      </c>
      <c r="C82" s="102">
        <f t="shared" ref="C82:L82" si="19">SUBTOTAL(9,C81)</f>
        <v>-192265.04337425981</v>
      </c>
      <c r="D82" s="102">
        <f t="shared" si="19"/>
        <v>-199331.11104074397</v>
      </c>
      <c r="E82" s="102">
        <f t="shared" si="19"/>
        <v>-206656.86872362983</v>
      </c>
      <c r="F82" s="102">
        <f t="shared" si="19"/>
        <v>-214251.86047313054</v>
      </c>
      <c r="G82" s="102">
        <f t="shared" si="19"/>
        <v>-222125.98109955297</v>
      </c>
      <c r="H82" s="102">
        <f t="shared" si="19"/>
        <v>-230289.4890643282</v>
      </c>
      <c r="I82" s="102">
        <f t="shared" si="19"/>
        <v>-238753.01984480943</v>
      </c>
      <c r="J82" s="102">
        <f t="shared" si="19"/>
        <v>-247527.59979024905</v>
      </c>
      <c r="K82" s="102">
        <f t="shared" si="19"/>
        <v>-256624.6604870063</v>
      </c>
      <c r="L82" s="102">
        <f t="shared" si="19"/>
        <v>-266056.0536517009</v>
      </c>
      <c r="N82" s="191"/>
    </row>
    <row r="83" spans="1:14" x14ac:dyDescent="0.25">
      <c r="N83" s="191"/>
    </row>
    <row r="84" spans="1:14" ht="15.75" thickBot="1" x14ac:dyDescent="0.3">
      <c r="A84" s="55" t="s">
        <v>802</v>
      </c>
      <c r="B84" s="56">
        <f>B78+B82</f>
        <v>7636064.4199999999</v>
      </c>
      <c r="C84" s="56">
        <f t="shared" ref="C84:L84" si="20">C78+C82</f>
        <v>8006832.6110146567</v>
      </c>
      <c r="D84" s="56">
        <f t="shared" si="20"/>
        <v>8312921.9134099605</v>
      </c>
      <c r="E84" s="56">
        <f t="shared" si="20"/>
        <v>8668245.8847664967</v>
      </c>
      <c r="F84" s="56">
        <f t="shared" si="20"/>
        <v>8936404.2154049929</v>
      </c>
      <c r="G84" s="56">
        <f t="shared" si="20"/>
        <v>9229771.6594265085</v>
      </c>
      <c r="H84" s="56">
        <f t="shared" si="20"/>
        <v>9553929.8072327841</v>
      </c>
      <c r="I84" s="56">
        <f t="shared" si="20"/>
        <v>9867329.1735087056</v>
      </c>
      <c r="J84" s="56">
        <f t="shared" si="20"/>
        <v>10208923.775248779</v>
      </c>
      <c r="K84" s="56">
        <f t="shared" si="20"/>
        <v>10555061.327540338</v>
      </c>
      <c r="L84" s="56">
        <f t="shared" si="20"/>
        <v>10884282.200924121</v>
      </c>
      <c r="N84" s="191"/>
    </row>
    <row r="85" spans="1:14" ht="15.75" thickTop="1" x14ac:dyDescent="0.25">
      <c r="N85" s="191"/>
    </row>
    <row r="86" spans="1:14" x14ac:dyDescent="0.25">
      <c r="A86" s="100" t="s">
        <v>803</v>
      </c>
      <c r="N86" s="191"/>
    </row>
    <row r="87" spans="1:14" x14ac:dyDescent="0.25">
      <c r="A87" s="6" t="s">
        <v>749</v>
      </c>
      <c r="B87" s="51">
        <v>359644.05559253751</v>
      </c>
      <c r="C87" s="51">
        <f>B87*(1+Assumptions!C$16)</f>
        <v>389199.92910871113</v>
      </c>
      <c r="D87" s="51">
        <f>C87*(1+Assumptions!D$16)</f>
        <v>412920.76066888327</v>
      </c>
      <c r="E87" s="51">
        <f>D87*(1+Assumptions!E$16)</f>
        <v>438073.758601813</v>
      </c>
      <c r="F87" s="51">
        <f>E87*(1+Assumptions!F$16)</f>
        <v>451514.8937417905</v>
      </c>
      <c r="G87" s="51">
        <f>F87*(1+Assumptions!G$16)</f>
        <v>465353.93791173206</v>
      </c>
      <c r="H87" s="51">
        <f>G87*(1+Assumptions!H$16)</f>
        <v>479602.37913737947</v>
      </c>
      <c r="I87" s="51">
        <f>H87*(1+Assumptions!I$16)</f>
        <v>494272.03101252159</v>
      </c>
      <c r="J87" s="51">
        <f>I87*(1+Assumptions!J$16)</f>
        <v>509375.04179438634</v>
      </c>
      <c r="K87" s="51">
        <f>J87*(1+Assumptions!K$16)</f>
        <v>524923.90375025652</v>
      </c>
      <c r="L87" s="51">
        <f>K87*(1+Assumptions!L$16)</f>
        <v>540931.46276218456</v>
      </c>
      <c r="N87" s="191"/>
    </row>
    <row r="88" spans="1:14" x14ac:dyDescent="0.25">
      <c r="A88" s="6" t="s">
        <v>790</v>
      </c>
      <c r="B88" s="51">
        <v>88702.934407462468</v>
      </c>
      <c r="C88" s="51">
        <f>B88*(1+Assumptions!C$16)</f>
        <v>95992.621722163094</v>
      </c>
      <c r="D88" s="51">
        <f>C88*(1+Assumptions!D$16)</f>
        <v>101843.14902340197</v>
      </c>
      <c r="E88" s="51">
        <f>D88*(1+Assumptions!E$16)</f>
        <v>108046.90713117813</v>
      </c>
      <c r="F88" s="51">
        <f>E88*(1+Assumptions!F$16)</f>
        <v>111362.04083113301</v>
      </c>
      <c r="G88" s="51">
        <f>F88*(1+Assumptions!G$16)</f>
        <v>114775.31517330393</v>
      </c>
      <c r="H88" s="51">
        <f>G88*(1+Assumptions!H$16)</f>
        <v>118289.56357472645</v>
      </c>
      <c r="I88" s="51">
        <f>H88*(1+Assumptions!I$16)</f>
        <v>121907.69975083301</v>
      </c>
      <c r="J88" s="51">
        <f>I88*(1+Assumptions!J$16)</f>
        <v>125632.71995874867</v>
      </c>
      <c r="K88" s="51">
        <f>J88*(1+Assumptions!K$16)</f>
        <v>129467.70530254884</v>
      </c>
      <c r="L88" s="51">
        <f>K88*(1+Assumptions!L$16)</f>
        <v>133415.82410217484</v>
      </c>
      <c r="N88" s="191"/>
    </row>
    <row r="89" spans="1:14" ht="15.75" thickBot="1" x14ac:dyDescent="0.3">
      <c r="A89" s="55" t="s">
        <v>804</v>
      </c>
      <c r="B89" s="56">
        <f>SUBTOTAL(9,B87:B88)</f>
        <v>448346.99</v>
      </c>
      <c r="C89" s="56">
        <f t="shared" ref="C89:L89" si="21">SUBTOTAL(9,C87:C88)</f>
        <v>485192.55083087424</v>
      </c>
      <c r="D89" s="56">
        <f t="shared" si="21"/>
        <v>514763.90969228523</v>
      </c>
      <c r="E89" s="56">
        <f t="shared" si="21"/>
        <v>546120.66573299118</v>
      </c>
      <c r="F89" s="56">
        <f t="shared" si="21"/>
        <v>562876.93457292346</v>
      </c>
      <c r="G89" s="56">
        <f t="shared" si="21"/>
        <v>580129.25308503595</v>
      </c>
      <c r="H89" s="56">
        <f t="shared" si="21"/>
        <v>597891.94271210593</v>
      </c>
      <c r="I89" s="56">
        <f t="shared" si="21"/>
        <v>616179.73076335457</v>
      </c>
      <c r="J89" s="56">
        <f t="shared" si="21"/>
        <v>635007.76175313501</v>
      </c>
      <c r="K89" s="56">
        <f t="shared" si="21"/>
        <v>654391.60905280535</v>
      </c>
      <c r="L89" s="56">
        <f t="shared" si="21"/>
        <v>674347.2868643594</v>
      </c>
      <c r="N89" s="191"/>
    </row>
    <row r="90" spans="1:14" ht="15.75" thickTop="1" x14ac:dyDescent="0.25">
      <c r="N90" s="191"/>
    </row>
    <row r="91" spans="1:14" x14ac:dyDescent="0.25">
      <c r="A91" s="49" t="s">
        <v>805</v>
      </c>
      <c r="N91" s="191"/>
    </row>
    <row r="92" spans="1:14" x14ac:dyDescent="0.25">
      <c r="A92" s="6" t="s">
        <v>771</v>
      </c>
      <c r="B92" s="51">
        <v>670305.65000000084</v>
      </c>
      <c r="C92" s="51">
        <f>B92*(1+Assumptions!C$16)</f>
        <v>725391.97410435975</v>
      </c>
      <c r="D92" s="51">
        <f>C92*(1+Assumptions!D$16)</f>
        <v>769602.92982635845</v>
      </c>
      <c r="E92" s="51">
        <f>D92*(1+Assumptions!E$16)</f>
        <v>816483.16145177162</v>
      </c>
      <c r="F92" s="51">
        <f>E92*(1+Assumptions!F$16)</f>
        <v>841534.7887111085</v>
      </c>
      <c r="G92" s="51">
        <f>F92*(1+Assumptions!G$16)</f>
        <v>867328.03999237309</v>
      </c>
      <c r="H92" s="51">
        <f>G92*(1+Assumptions!H$16)</f>
        <v>893884.3267117762</v>
      </c>
      <c r="I92" s="51">
        <f>H92*(1+Assumptions!I$16)</f>
        <v>921225.66708021378</v>
      </c>
      <c r="J92" s="51">
        <f>I92*(1+Assumptions!J$16)</f>
        <v>949374.70305528503</v>
      </c>
      <c r="K92" s="51">
        <f>J92*(1+Assumptions!K$16)</f>
        <v>978354.71776154253</v>
      </c>
      <c r="L92" s="51">
        <f>K92*(1+Assumptions!L$16)</f>
        <v>1008189.653391788</v>
      </c>
      <c r="N92" s="191"/>
    </row>
    <row r="93" spans="1:14" x14ac:dyDescent="0.25">
      <c r="A93" s="6" t="s">
        <v>806</v>
      </c>
      <c r="B93" s="58">
        <f>B94-B92</f>
        <v>6965758.7699999996</v>
      </c>
      <c r="C93" s="58">
        <f t="shared" ref="C93:L93" si="22">C94-C92</f>
        <v>7281440.636910297</v>
      </c>
      <c r="D93" s="58">
        <f t="shared" si="22"/>
        <v>7543318.9835836021</v>
      </c>
      <c r="E93" s="58">
        <f t="shared" si="22"/>
        <v>7851762.7233147249</v>
      </c>
      <c r="F93" s="58">
        <f t="shared" si="22"/>
        <v>8094869.4266938847</v>
      </c>
      <c r="G93" s="58">
        <f t="shared" si="22"/>
        <v>8362443.619434135</v>
      </c>
      <c r="H93" s="58">
        <f t="shared" si="22"/>
        <v>8660045.4805210084</v>
      </c>
      <c r="I93" s="58">
        <f t="shared" si="22"/>
        <v>8946103.5064284913</v>
      </c>
      <c r="J93" s="58">
        <f t="shared" si="22"/>
        <v>9259549.0721934941</v>
      </c>
      <c r="K93" s="58">
        <f t="shared" si="22"/>
        <v>9576706.6097787954</v>
      </c>
      <c r="L93" s="58">
        <f t="shared" si="22"/>
        <v>9876092.5475323331</v>
      </c>
      <c r="N93" s="191"/>
    </row>
    <row r="94" spans="1:14" x14ac:dyDescent="0.25">
      <c r="A94" s="49" t="s">
        <v>807</v>
      </c>
      <c r="B94" s="60">
        <f>B84</f>
        <v>7636064.4199999999</v>
      </c>
      <c r="C94" s="60">
        <f t="shared" ref="C94:L94" si="23">C84</f>
        <v>8006832.6110146567</v>
      </c>
      <c r="D94" s="60">
        <f t="shared" si="23"/>
        <v>8312921.9134099605</v>
      </c>
      <c r="E94" s="60">
        <f t="shared" si="23"/>
        <v>8668245.8847664967</v>
      </c>
      <c r="F94" s="60">
        <f t="shared" si="23"/>
        <v>8936404.2154049929</v>
      </c>
      <c r="G94" s="60">
        <f t="shared" si="23"/>
        <v>9229771.6594265085</v>
      </c>
      <c r="H94" s="60">
        <f t="shared" si="23"/>
        <v>9553929.8072327841</v>
      </c>
      <c r="I94" s="60">
        <f t="shared" si="23"/>
        <v>9867329.1735087056</v>
      </c>
      <c r="J94" s="60">
        <f t="shared" si="23"/>
        <v>10208923.775248779</v>
      </c>
      <c r="K94" s="60">
        <f t="shared" si="23"/>
        <v>10555061.327540338</v>
      </c>
      <c r="L94" s="60">
        <f t="shared" si="23"/>
        <v>10884282.200924121</v>
      </c>
      <c r="N94" s="191"/>
    </row>
    <row r="95" spans="1:14" x14ac:dyDescent="0.25">
      <c r="N95" s="191"/>
    </row>
    <row r="96" spans="1:14" x14ac:dyDescent="0.25">
      <c r="A96" s="49" t="s">
        <v>808</v>
      </c>
      <c r="N96" s="191"/>
    </row>
    <row r="97" spans="1:14" x14ac:dyDescent="0.25">
      <c r="A97" s="6" t="s">
        <v>771</v>
      </c>
      <c r="B97" s="51">
        <v>115276.72</v>
      </c>
      <c r="C97" s="51">
        <f>B97*(1+Assumptions!C$16)</f>
        <v>124750.26503069968</v>
      </c>
      <c r="D97" s="51">
        <f>C97*(1+Assumptions!D$16)</f>
        <v>132353.50388702922</v>
      </c>
      <c r="E97" s="51">
        <f>D97*(1+Assumptions!E$16)</f>
        <v>140415.79507406888</v>
      </c>
      <c r="F97" s="51">
        <f>E97*(1+Assumptions!F$16)</f>
        <v>144724.08252639594</v>
      </c>
      <c r="G97" s="51">
        <f>F97*(1+Assumptions!G$16)</f>
        <v>149159.91177211388</v>
      </c>
      <c r="H97" s="51">
        <f>G97*(1+Assumptions!H$16)</f>
        <v>153726.96506846062</v>
      </c>
      <c r="I97" s="51">
        <f>H97*(1+Assumptions!I$16)</f>
        <v>158429.02902701008</v>
      </c>
      <c r="J97" s="51">
        <f>I97*(1+Assumptions!J$16)</f>
        <v>163269.99752901841</v>
      </c>
      <c r="K97" s="51">
        <f>J97*(1+Assumptions!K$16)</f>
        <v>168253.87472129497</v>
      </c>
      <c r="L97" s="51">
        <f>K97*(1+Assumptions!L$16)</f>
        <v>173384.77809480199</v>
      </c>
      <c r="N97" s="191"/>
    </row>
    <row r="98" spans="1:14" x14ac:dyDescent="0.25">
      <c r="A98" s="6" t="s">
        <v>806</v>
      </c>
      <c r="B98" s="58">
        <f>B99-B97</f>
        <v>333070.27</v>
      </c>
      <c r="C98" s="58">
        <f t="shared" ref="C98:L98" si="24">C99-C97</f>
        <v>360442.28580017458</v>
      </c>
      <c r="D98" s="58">
        <f t="shared" si="24"/>
        <v>382410.40580525598</v>
      </c>
      <c r="E98" s="58">
        <f t="shared" si="24"/>
        <v>405704.8706589223</v>
      </c>
      <c r="F98" s="58">
        <f t="shared" si="24"/>
        <v>418152.85204652755</v>
      </c>
      <c r="G98" s="58">
        <f t="shared" si="24"/>
        <v>430969.34131292207</v>
      </c>
      <c r="H98" s="58">
        <f t="shared" si="24"/>
        <v>444164.97764364531</v>
      </c>
      <c r="I98" s="58">
        <f t="shared" si="24"/>
        <v>457750.70173634449</v>
      </c>
      <c r="J98" s="58">
        <f t="shared" si="24"/>
        <v>471737.76422411657</v>
      </c>
      <c r="K98" s="58">
        <f t="shared" si="24"/>
        <v>486137.73433151038</v>
      </c>
      <c r="L98" s="58">
        <f t="shared" si="24"/>
        <v>500962.5087695574</v>
      </c>
      <c r="N98" s="191"/>
    </row>
    <row r="99" spans="1:14" x14ac:dyDescent="0.25">
      <c r="A99" s="49" t="s">
        <v>809</v>
      </c>
      <c r="B99" s="60">
        <f>B89</f>
        <v>448346.99</v>
      </c>
      <c r="C99" s="60">
        <f t="shared" ref="C99:L99" si="25">C89</f>
        <v>485192.55083087424</v>
      </c>
      <c r="D99" s="60">
        <f t="shared" si="25"/>
        <v>514763.90969228523</v>
      </c>
      <c r="E99" s="60">
        <f t="shared" si="25"/>
        <v>546120.66573299118</v>
      </c>
      <c r="F99" s="60">
        <f t="shared" si="25"/>
        <v>562876.93457292346</v>
      </c>
      <c r="G99" s="60">
        <f t="shared" si="25"/>
        <v>580129.25308503595</v>
      </c>
      <c r="H99" s="60">
        <f t="shared" si="25"/>
        <v>597891.94271210593</v>
      </c>
      <c r="I99" s="60">
        <f t="shared" si="25"/>
        <v>616179.73076335457</v>
      </c>
      <c r="J99" s="60">
        <f t="shared" si="25"/>
        <v>635007.76175313501</v>
      </c>
      <c r="K99" s="60">
        <f t="shared" si="25"/>
        <v>654391.60905280535</v>
      </c>
      <c r="L99" s="60">
        <f t="shared" si="25"/>
        <v>674347.2868643594</v>
      </c>
      <c r="N99" s="191"/>
    </row>
    <row r="100" spans="1:14" x14ac:dyDescent="0.25">
      <c r="N100" s="191"/>
    </row>
    <row r="101" spans="1:14" x14ac:dyDescent="0.25">
      <c r="N101" s="191"/>
    </row>
    <row r="102" spans="1:14" ht="15.75" x14ac:dyDescent="0.25">
      <c r="A102" s="28" t="s">
        <v>810</v>
      </c>
      <c r="N102" s="191"/>
    </row>
    <row r="103" spans="1:14" x14ac:dyDescent="0.25">
      <c r="A103" s="44"/>
      <c r="N103" s="191"/>
    </row>
    <row r="104" spans="1:14" x14ac:dyDescent="0.25">
      <c r="A104" s="49" t="s">
        <v>811</v>
      </c>
      <c r="N104" s="191"/>
    </row>
    <row r="105" spans="1:14" x14ac:dyDescent="0.25">
      <c r="A105" s="6" t="s">
        <v>812</v>
      </c>
      <c r="B105" s="51">
        <v>378263</v>
      </c>
      <c r="C105" s="51">
        <f>B105*(1+Assumptions!C$50+Assumptions!C38)</f>
        <v>387719.57500000007</v>
      </c>
      <c r="D105" s="51">
        <f>C105*(1+Assumptions!D$50+Assumptions!D38)</f>
        <v>397412.56437500013</v>
      </c>
      <c r="E105" s="51">
        <f>D105*(1+Assumptions!E$50+Assumptions!E38)</f>
        <v>407347.87848437519</v>
      </c>
      <c r="F105" s="51">
        <f>E105*(1+Assumptions!F$50+Assumptions!F38)</f>
        <v>417531.57544648461</v>
      </c>
      <c r="G105" s="51">
        <f>F105*(1+Assumptions!G$50+Assumptions!G38)</f>
        <v>427969.8648326468</v>
      </c>
      <c r="H105" s="51">
        <f>G105*(1+Assumptions!H$50+Assumptions!H38)</f>
        <v>438669.11145346303</v>
      </c>
      <c r="I105" s="51">
        <f>H105*(1+Assumptions!I$50+Assumptions!I38)</f>
        <v>449635.83923979965</v>
      </c>
      <c r="J105" s="51">
        <f>I105*(1+Assumptions!J$50+Assumptions!J38)</f>
        <v>460876.73522079468</v>
      </c>
      <c r="K105" s="51">
        <f>J105*(1+Assumptions!K$50+Assumptions!K38)</f>
        <v>472398.65360131464</v>
      </c>
      <c r="L105" s="51">
        <f>K105*(1+Assumptions!L$50+Assumptions!L38)</f>
        <v>484208.61994134757</v>
      </c>
      <c r="N105" s="191"/>
    </row>
    <row r="106" spans="1:14" x14ac:dyDescent="0.25">
      <c r="A106" s="6" t="s">
        <v>813</v>
      </c>
      <c r="B106" s="51">
        <v>195015</v>
      </c>
      <c r="C106" s="51">
        <f>B106*(1+Assumptions!C$50+Assumptions!C38)</f>
        <v>199890.37500000003</v>
      </c>
      <c r="D106" s="51">
        <f>C106*(1+Assumptions!D$50+Assumptions!D38)</f>
        <v>204887.63437500005</v>
      </c>
      <c r="E106" s="51">
        <f>D106*(1+Assumptions!E$50+Assumptions!E38)</f>
        <v>210009.82523437508</v>
      </c>
      <c r="F106" s="51">
        <f>E106*(1+Assumptions!F$50+Assumptions!F38)</f>
        <v>215260.07086523448</v>
      </c>
      <c r="G106" s="51">
        <f>F106*(1+Assumptions!G$50+Assumptions!G38)</f>
        <v>220641.57263686537</v>
      </c>
      <c r="H106" s="51">
        <f>G106*(1+Assumptions!H$50+Assumptions!H38)</f>
        <v>226157.61195278703</v>
      </c>
      <c r="I106" s="51">
        <f>H106*(1+Assumptions!I$50+Assumptions!I38)</f>
        <v>231811.55225160674</v>
      </c>
      <c r="J106" s="51">
        <f>I106*(1+Assumptions!J$50+Assumptions!J38)</f>
        <v>237606.84105789693</v>
      </c>
      <c r="K106" s="51">
        <f>J106*(1+Assumptions!K$50+Assumptions!K38)</f>
        <v>243547.0120843444</v>
      </c>
      <c r="L106" s="51">
        <f>K106*(1+Assumptions!L$50+Assumptions!L38)</f>
        <v>249635.68738645304</v>
      </c>
      <c r="N106" s="191"/>
    </row>
    <row r="107" spans="1:14" x14ac:dyDescent="0.25">
      <c r="A107" s="49" t="s">
        <v>814</v>
      </c>
      <c r="B107" s="60">
        <f>SUBTOTAL(9,B105:B106)</f>
        <v>573278</v>
      </c>
      <c r="C107" s="60">
        <f t="shared" ref="C107:L107" si="26">SUBTOTAL(9,C105:C106)</f>
        <v>587609.95000000007</v>
      </c>
      <c r="D107" s="60">
        <f t="shared" si="26"/>
        <v>602300.19875000021</v>
      </c>
      <c r="E107" s="60">
        <f t="shared" si="26"/>
        <v>617357.70371875027</v>
      </c>
      <c r="F107" s="60">
        <f t="shared" si="26"/>
        <v>632791.64631171909</v>
      </c>
      <c r="G107" s="60">
        <f t="shared" si="26"/>
        <v>648611.43746951222</v>
      </c>
      <c r="H107" s="60">
        <f t="shared" si="26"/>
        <v>664826.72340625012</v>
      </c>
      <c r="I107" s="60">
        <f t="shared" si="26"/>
        <v>681447.39149140636</v>
      </c>
      <c r="J107" s="60">
        <f t="shared" si="26"/>
        <v>698483.57627869165</v>
      </c>
      <c r="K107" s="60">
        <f t="shared" si="26"/>
        <v>715945.66568565904</v>
      </c>
      <c r="L107" s="60">
        <f t="shared" si="26"/>
        <v>733844.30732780066</v>
      </c>
      <c r="N107" s="191"/>
    </row>
    <row r="108" spans="1:14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N108" s="191"/>
    </row>
    <row r="109" spans="1:14" x14ac:dyDescent="0.25">
      <c r="A109" s="49" t="s">
        <v>611</v>
      </c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N109" s="191"/>
    </row>
    <row r="110" spans="1:14" x14ac:dyDescent="0.25">
      <c r="A110" s="6" t="s">
        <v>815</v>
      </c>
      <c r="B110" s="51">
        <v>823852</v>
      </c>
      <c r="C110" s="51">
        <f>B110*(1+Assumptions!C$24)</f>
        <v>854129.96357050969</v>
      </c>
      <c r="D110" s="51">
        <f>C110*(1+Assumptions!D$24)</f>
        <v>885520.69384908967</v>
      </c>
      <c r="E110" s="51">
        <f>D110*(1+Assumptions!E$24)</f>
        <v>918065.08690669609</v>
      </c>
      <c r="F110" s="51">
        <f>E110*(1+Assumptions!F$24)</f>
        <v>951805.54181451665</v>
      </c>
      <c r="G110" s="51">
        <f>F110*(1+Assumptions!G$24)</f>
        <v>986786.0158817874</v>
      </c>
      <c r="H110" s="51">
        <f>G110*(1+Assumptions!H$24)</f>
        <v>1023052.0819236943</v>
      </c>
      <c r="I110" s="51">
        <f>H110*(1+Assumptions!I$24)</f>
        <v>1060650.9876339673</v>
      </c>
      <c r="J110" s="51">
        <f>I110*(1+Assumptions!J$24)</f>
        <v>1099631.7171395174</v>
      </c>
      <c r="K110" s="51">
        <f>J110*(1+Assumptions!K$24)</f>
        <v>1140045.0548173131</v>
      </c>
      <c r="L110" s="51">
        <f>K110*(1+Assumptions!L$24)</f>
        <v>1181943.6514566347</v>
      </c>
      <c r="N110" s="191"/>
    </row>
    <row r="111" spans="1:14" x14ac:dyDescent="0.25">
      <c r="A111" s="49" t="s">
        <v>816</v>
      </c>
      <c r="B111" s="60">
        <f>SUBTOTAL(9,B110)</f>
        <v>823852</v>
      </c>
      <c r="C111" s="60">
        <f t="shared" ref="C111:L111" si="27">SUBTOTAL(9,C110)</f>
        <v>854129.96357050969</v>
      </c>
      <c r="D111" s="60">
        <f t="shared" si="27"/>
        <v>885520.69384908967</v>
      </c>
      <c r="E111" s="60">
        <f t="shared" si="27"/>
        <v>918065.08690669609</v>
      </c>
      <c r="F111" s="60">
        <f t="shared" si="27"/>
        <v>951805.54181451665</v>
      </c>
      <c r="G111" s="60">
        <f t="shared" si="27"/>
        <v>986786.0158817874</v>
      </c>
      <c r="H111" s="60">
        <f t="shared" si="27"/>
        <v>1023052.0819236943</v>
      </c>
      <c r="I111" s="60">
        <f t="shared" si="27"/>
        <v>1060650.9876339673</v>
      </c>
      <c r="J111" s="60">
        <f t="shared" si="27"/>
        <v>1099631.7171395174</v>
      </c>
      <c r="K111" s="60">
        <f t="shared" si="27"/>
        <v>1140045.0548173131</v>
      </c>
      <c r="L111" s="60">
        <f t="shared" si="27"/>
        <v>1181943.6514566347</v>
      </c>
      <c r="N111" s="191"/>
    </row>
    <row r="112" spans="1:14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N112" s="191"/>
    </row>
    <row r="113" spans="1:12" ht="15.75" thickBot="1" x14ac:dyDescent="0.3">
      <c r="A113" s="55" t="s">
        <v>817</v>
      </c>
      <c r="B113" s="56">
        <f>B107+B111</f>
        <v>1397130</v>
      </c>
      <c r="C113" s="56">
        <f t="shared" ref="C113:L113" si="28">C107+C111</f>
        <v>1441739.9135705098</v>
      </c>
      <c r="D113" s="56">
        <f t="shared" si="28"/>
        <v>1487820.89259909</v>
      </c>
      <c r="E113" s="56">
        <f t="shared" si="28"/>
        <v>1535422.7906254465</v>
      </c>
      <c r="F113" s="56">
        <f t="shared" si="28"/>
        <v>1584597.1881262357</v>
      </c>
      <c r="G113" s="56">
        <f t="shared" si="28"/>
        <v>1635397.4533512997</v>
      </c>
      <c r="H113" s="56">
        <f t="shared" si="28"/>
        <v>1687878.8053299445</v>
      </c>
      <c r="I113" s="56">
        <f t="shared" si="28"/>
        <v>1742098.3791253737</v>
      </c>
      <c r="J113" s="56">
        <f t="shared" si="28"/>
        <v>1798115.2934182091</v>
      </c>
      <c r="K113" s="56">
        <f t="shared" si="28"/>
        <v>1855990.7205029721</v>
      </c>
      <c r="L113" s="56">
        <f t="shared" si="28"/>
        <v>1915787.9587844354</v>
      </c>
    </row>
    <row r="114" spans="1:12" ht="15.75" thickTop="1" x14ac:dyDescent="0.25"/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3"/>
  <sheetViews>
    <sheetView zoomScale="115" zoomScaleNormal="11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26" sqref="O26"/>
    </sheetView>
  </sheetViews>
  <sheetFormatPr defaultRowHeight="15" x14ac:dyDescent="0.25"/>
  <cols>
    <col min="1" max="1" width="30.140625" customWidth="1"/>
    <col min="3" max="13" width="13.28515625" bestFit="1" customWidth="1"/>
    <col min="15" max="15" width="12.28515625" bestFit="1" customWidth="1"/>
  </cols>
  <sheetData>
    <row r="1" spans="1:15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5" ht="18" customHeight="1" x14ac:dyDescent="0.25">
      <c r="A2" s="1" t="s">
        <v>615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5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5" x14ac:dyDescent="0.25">
      <c r="A4" s="6"/>
      <c r="B4" s="6"/>
      <c r="C4" s="7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17</v>
      </c>
    </row>
    <row r="5" spans="1:15" x14ac:dyDescent="0.25">
      <c r="A5" s="6"/>
      <c r="B5" s="6"/>
      <c r="C5" s="7">
        <f>BASE_YR</f>
        <v>2018</v>
      </c>
      <c r="D5" s="12">
        <f>C5+1</f>
        <v>2019</v>
      </c>
      <c r="E5" s="12">
        <f t="shared" ref="E5:M5" si="0">D5+1</f>
        <v>2020</v>
      </c>
      <c r="F5" s="12">
        <f t="shared" si="0"/>
        <v>2021</v>
      </c>
      <c r="G5" s="12">
        <f t="shared" si="0"/>
        <v>2022</v>
      </c>
      <c r="H5" s="12">
        <f t="shared" si="0"/>
        <v>2023</v>
      </c>
      <c r="I5" s="12">
        <f t="shared" si="0"/>
        <v>2024</v>
      </c>
      <c r="J5" s="12">
        <f t="shared" si="0"/>
        <v>2025</v>
      </c>
      <c r="K5" s="12">
        <f t="shared" si="0"/>
        <v>2026</v>
      </c>
      <c r="L5" s="12">
        <f t="shared" si="0"/>
        <v>2027</v>
      </c>
      <c r="M5" s="12">
        <f t="shared" si="0"/>
        <v>2028</v>
      </c>
    </row>
    <row r="7" spans="1:15" x14ac:dyDescent="0.25">
      <c r="A7" s="64" t="s">
        <v>616</v>
      </c>
    </row>
    <row r="8" spans="1:15" x14ac:dyDescent="0.25">
      <c r="A8" s="68" t="s">
        <v>617</v>
      </c>
      <c r="B8" s="70"/>
      <c r="C8" s="73">
        <f t="shared" ref="C8:M17" si="1">SUMIF($A$23:$A$233,$A8,C$23:C$233)</f>
        <v>2152385317.6150651</v>
      </c>
      <c r="D8" s="73">
        <f t="shared" si="1"/>
        <v>2211667061.5750217</v>
      </c>
      <c r="E8" s="73">
        <f t="shared" si="1"/>
        <v>2309341096.0840936</v>
      </c>
      <c r="F8" s="73">
        <f t="shared" si="1"/>
        <v>2384040831.8719525</v>
      </c>
      <c r="G8" s="73">
        <f t="shared" si="1"/>
        <v>2461287668.2842941</v>
      </c>
      <c r="H8" s="73">
        <f t="shared" si="1"/>
        <v>2540061191.3640881</v>
      </c>
      <c r="I8" s="73">
        <f t="shared" si="1"/>
        <v>2620857288.8157454</v>
      </c>
      <c r="J8" s="73">
        <f t="shared" si="1"/>
        <v>2703263196.3420238</v>
      </c>
      <c r="K8" s="73">
        <f t="shared" si="1"/>
        <v>2787096149.4625506</v>
      </c>
      <c r="L8" s="73">
        <f t="shared" si="1"/>
        <v>2874490063.9218049</v>
      </c>
      <c r="M8" s="73">
        <f t="shared" si="1"/>
        <v>2964482113.20328</v>
      </c>
      <c r="O8" s="191"/>
    </row>
    <row r="9" spans="1:15" x14ac:dyDescent="0.25">
      <c r="A9" s="68" t="s">
        <v>618</v>
      </c>
      <c r="B9" s="70"/>
      <c r="C9" s="73">
        <f t="shared" si="1"/>
        <v>-675247661.21000683</v>
      </c>
      <c r="D9" s="73">
        <f t="shared" si="1"/>
        <v>-706624027.40620065</v>
      </c>
      <c r="E9" s="73">
        <f t="shared" si="1"/>
        <v>-736146943.5980283</v>
      </c>
      <c r="F9" s="73">
        <f t="shared" si="1"/>
        <v>-772469920.03580773</v>
      </c>
      <c r="G9" s="73">
        <f t="shared" si="1"/>
        <v>-808808303.51573646</v>
      </c>
      <c r="H9" s="73">
        <f t="shared" si="1"/>
        <v>-847618354.10988271</v>
      </c>
      <c r="I9" s="73">
        <f t="shared" si="1"/>
        <v>-888192227.59129775</v>
      </c>
      <c r="J9" s="73">
        <f t="shared" si="1"/>
        <v>-930319740.03302336</v>
      </c>
      <c r="K9" s="73">
        <f t="shared" si="1"/>
        <v>-974719688.30381489</v>
      </c>
      <c r="L9" s="73">
        <f t="shared" si="1"/>
        <v>-1021104926.9535795</v>
      </c>
      <c r="M9" s="73">
        <f t="shared" si="1"/>
        <v>-1068912321.5295708</v>
      </c>
      <c r="O9" s="191"/>
    </row>
    <row r="10" spans="1:15" x14ac:dyDescent="0.25">
      <c r="A10" s="68" t="s">
        <v>619</v>
      </c>
      <c r="B10" s="70"/>
      <c r="C10" s="73">
        <f t="shared" si="1"/>
        <v>1477137656.4050581</v>
      </c>
      <c r="D10" s="73">
        <f t="shared" si="1"/>
        <v>1505043034.1688211</v>
      </c>
      <c r="E10" s="73">
        <f t="shared" si="1"/>
        <v>1573194152.4860656</v>
      </c>
      <c r="F10" s="73">
        <f t="shared" si="1"/>
        <v>1611570911.8361456</v>
      </c>
      <c r="G10" s="73">
        <f t="shared" si="1"/>
        <v>1652479364.768558</v>
      </c>
      <c r="H10" s="73">
        <f t="shared" si="1"/>
        <v>1692442837.2542064</v>
      </c>
      <c r="I10" s="73">
        <f t="shared" si="1"/>
        <v>1732665061.2244482</v>
      </c>
      <c r="J10" s="73">
        <f t="shared" si="1"/>
        <v>1772943456.309</v>
      </c>
      <c r="K10" s="73">
        <f t="shared" si="1"/>
        <v>1812376461.1587358</v>
      </c>
      <c r="L10" s="73">
        <f t="shared" si="1"/>
        <v>1853385136.968226</v>
      </c>
      <c r="M10" s="73">
        <f t="shared" si="1"/>
        <v>1895569791.6737101</v>
      </c>
      <c r="O10" s="191"/>
    </row>
    <row r="11" spans="1:15" x14ac:dyDescent="0.25">
      <c r="A11" s="69" t="s">
        <v>1165</v>
      </c>
      <c r="B11" s="71"/>
      <c r="C11" s="74">
        <f t="shared" si="1"/>
        <v>13303306.140000001</v>
      </c>
      <c r="D11" s="74">
        <f t="shared" si="1"/>
        <v>28128124.052555639</v>
      </c>
      <c r="E11" s="74">
        <f t="shared" si="1"/>
        <v>13992754.608903756</v>
      </c>
      <c r="F11" s="74">
        <f t="shared" si="1"/>
        <v>14134205.873397203</v>
      </c>
      <c r="G11" s="74">
        <f t="shared" si="1"/>
        <v>12779436.408501893</v>
      </c>
      <c r="H11" s="74">
        <f t="shared" si="1"/>
        <v>12140669.260734472</v>
      </c>
      <c r="I11" s="74">
        <f t="shared" si="1"/>
        <v>14656547.060556192</v>
      </c>
      <c r="J11" s="74">
        <f t="shared" si="1"/>
        <v>11742352.736573197</v>
      </c>
      <c r="K11" s="74">
        <f t="shared" si="1"/>
        <v>14350237.606896842</v>
      </c>
      <c r="L11" s="74">
        <f t="shared" si="1"/>
        <v>16002907.473010072</v>
      </c>
      <c r="M11" s="74">
        <f t="shared" si="1"/>
        <v>13978045.716208043</v>
      </c>
      <c r="O11" s="191"/>
    </row>
    <row r="12" spans="1:15" s="44" customFormat="1" x14ac:dyDescent="0.25">
      <c r="A12" s="69" t="s">
        <v>1164</v>
      </c>
      <c r="B12" s="71"/>
      <c r="C12" s="74">
        <f t="shared" si="1"/>
        <v>20571386.917012498</v>
      </c>
      <c r="D12" s="74">
        <f t="shared" si="1"/>
        <v>41929384.821671762</v>
      </c>
      <c r="E12" s="74">
        <f t="shared" si="1"/>
        <v>22983483.748376772</v>
      </c>
      <c r="F12" s="74">
        <f t="shared" si="1"/>
        <v>26742539.449268393</v>
      </c>
      <c r="G12" s="74">
        <f t="shared" si="1"/>
        <v>26518909.195737172</v>
      </c>
      <c r="H12" s="74">
        <f t="shared" si="1"/>
        <v>27263536.942502551</v>
      </c>
      <c r="I12" s="74">
        <f t="shared" si="1"/>
        <v>25426944.257695924</v>
      </c>
      <c r="J12" s="74">
        <f t="shared" si="1"/>
        <v>26842341.829943039</v>
      </c>
      <c r="K12" s="74">
        <f t="shared" si="1"/>
        <v>26063835.771652844</v>
      </c>
      <c r="L12" s="74">
        <f t="shared" si="1"/>
        <v>26754845.240498193</v>
      </c>
      <c r="M12" s="74">
        <f t="shared" si="1"/>
        <v>27965926.525415771</v>
      </c>
      <c r="O12" s="191"/>
    </row>
    <row r="13" spans="1:15" x14ac:dyDescent="0.25">
      <c r="A13" s="69" t="s">
        <v>620</v>
      </c>
      <c r="B13" s="71"/>
      <c r="C13" s="74">
        <f t="shared" si="1"/>
        <v>-7328707.8788015218</v>
      </c>
      <c r="D13" s="74">
        <f t="shared" si="1"/>
        <v>-14736912.320428489</v>
      </c>
      <c r="E13" s="74">
        <f t="shared" si="1"/>
        <v>-6937776.2621493302</v>
      </c>
      <c r="F13" s="74">
        <f t="shared" si="1"/>
        <v>-10081135.294067455</v>
      </c>
      <c r="G13" s="74">
        <f t="shared" si="1"/>
        <v>-8788706.6535190511</v>
      </c>
      <c r="H13" s="74">
        <f t="shared" si="1"/>
        <v>-8734876.6631393787</v>
      </c>
      <c r="I13" s="74">
        <f t="shared" si="1"/>
        <v>-9727166.9509278033</v>
      </c>
      <c r="J13" s="74">
        <f t="shared" si="1"/>
        <v>-8745282.2390821483</v>
      </c>
      <c r="K13" s="74">
        <f t="shared" si="1"/>
        <v>-9043712.7173533626</v>
      </c>
      <c r="L13" s="74">
        <f t="shared" si="1"/>
        <v>-10857936.124906473</v>
      </c>
      <c r="M13" s="74">
        <f t="shared" si="1"/>
        <v>-8853294.4048387855</v>
      </c>
      <c r="O13" s="191"/>
    </row>
    <row r="14" spans="1:15" x14ac:dyDescent="0.25">
      <c r="A14" s="69" t="s">
        <v>621</v>
      </c>
      <c r="B14" s="71"/>
      <c r="C14" s="74">
        <f t="shared" si="1"/>
        <v>4733924.3196063992</v>
      </c>
      <c r="D14" s="74">
        <f t="shared" si="1"/>
        <v>9707808.0013388582</v>
      </c>
      <c r="E14" s="74">
        <f t="shared" si="1"/>
        <v>4569030.4552079774</v>
      </c>
      <c r="F14" s="74">
        <f t="shared" si="1"/>
        <v>6423131.1009395747</v>
      </c>
      <c r="G14" s="74">
        <f t="shared" si="1"/>
        <v>5704472.9726350764</v>
      </c>
      <c r="H14" s="74">
        <f t="shared" si="1"/>
        <v>5699148.02992264</v>
      </c>
      <c r="I14" s="74">
        <f t="shared" si="1"/>
        <v>6193310.4510526331</v>
      </c>
      <c r="J14" s="74">
        <f t="shared" si="1"/>
        <v>5700765.3565830877</v>
      </c>
      <c r="K14" s="74">
        <f t="shared" si="1"/>
        <v>5833167.1309211021</v>
      </c>
      <c r="L14" s="74">
        <f t="shared" si="1"/>
        <v>6853903.4607709618</v>
      </c>
      <c r="M14" s="74">
        <f t="shared" si="1"/>
        <v>5791430.9335644003</v>
      </c>
      <c r="O14" s="191"/>
    </row>
    <row r="15" spans="1:15" x14ac:dyDescent="0.25">
      <c r="A15" s="69" t="s">
        <v>622</v>
      </c>
      <c r="B15" s="71"/>
      <c r="C15" s="74">
        <f t="shared" si="1"/>
        <v>-2594783.5591951222</v>
      </c>
      <c r="D15" s="74">
        <f t="shared" si="1"/>
        <v>-5029104.3190896288</v>
      </c>
      <c r="E15" s="74">
        <f t="shared" si="1"/>
        <v>-2368745.8069413537</v>
      </c>
      <c r="F15" s="74">
        <f t="shared" si="1"/>
        <v>-3658004.1931278827</v>
      </c>
      <c r="G15" s="74">
        <f t="shared" si="1"/>
        <v>-3084233.6808839766</v>
      </c>
      <c r="H15" s="74">
        <f t="shared" si="1"/>
        <v>-3035728.6332167387</v>
      </c>
      <c r="I15" s="74">
        <f t="shared" si="1"/>
        <v>-3533856.4998751716</v>
      </c>
      <c r="J15" s="74">
        <f t="shared" si="1"/>
        <v>-3044516.8824990601</v>
      </c>
      <c r="K15" s="74">
        <f t="shared" si="1"/>
        <v>-3210545.58643226</v>
      </c>
      <c r="L15" s="74">
        <f t="shared" si="1"/>
        <v>-4004032.6641355092</v>
      </c>
      <c r="M15" s="74">
        <f t="shared" si="1"/>
        <v>-3061863.4712743824</v>
      </c>
      <c r="O15" s="191"/>
    </row>
    <row r="16" spans="1:15" x14ac:dyDescent="0.25">
      <c r="A16" s="69" t="s">
        <v>623</v>
      </c>
      <c r="B16" s="72"/>
      <c r="C16" s="74">
        <f t="shared" si="1"/>
        <v>-23528982</v>
      </c>
      <c r="D16" s="74">
        <f t="shared" si="1"/>
        <v>-22822754.025585577</v>
      </c>
      <c r="E16" s="74">
        <f t="shared" si="1"/>
        <v>-23802379.839880958</v>
      </c>
      <c r="F16" s="74">
        <f t="shared" si="1"/>
        <v>-24845621.932583559</v>
      </c>
      <c r="G16" s="74">
        <f t="shared" si="1"/>
        <v>-25745440.298295461</v>
      </c>
      <c r="H16" s="74">
        <f t="shared" si="1"/>
        <v>-26607354.454380278</v>
      </c>
      <c r="I16" s="74">
        <f t="shared" si="1"/>
        <v>-27716740.51252811</v>
      </c>
      <c r="J16" s="74">
        <f t="shared" si="1"/>
        <v>-28506447.635382351</v>
      </c>
      <c r="K16" s="74">
        <f t="shared" si="1"/>
        <v>-29591737.265016958</v>
      </c>
      <c r="L16" s="74">
        <f t="shared" si="1"/>
        <v>-30948956.723557297</v>
      </c>
      <c r="M16" s="74">
        <f t="shared" si="1"/>
        <v>-31969887.873776428</v>
      </c>
      <c r="O16" s="191"/>
    </row>
    <row r="17" spans="1:15" x14ac:dyDescent="0.25">
      <c r="A17" s="69" t="s">
        <v>1186</v>
      </c>
      <c r="B17" s="72"/>
      <c r="C17" s="74">
        <f t="shared" si="1"/>
        <v>32735758.781745754</v>
      </c>
      <c r="D17" s="74">
        <f t="shared" si="1"/>
        <v>42353437.955273561</v>
      </c>
      <c r="E17" s="74">
        <f t="shared" si="1"/>
        <v>44661273.69272805</v>
      </c>
      <c r="F17" s="74">
        <f t="shared" si="1"/>
        <v>46451226.383743189</v>
      </c>
      <c r="G17" s="74">
        <f t="shared" si="1"/>
        <v>48263884.129074305</v>
      </c>
      <c r="H17" s="74">
        <f t="shared" si="1"/>
        <v>50126767.91155941</v>
      </c>
      <c r="I17" s="74">
        <f t="shared" si="1"/>
        <v>52049583.158953466</v>
      </c>
      <c r="J17" s="74">
        <f t="shared" si="1"/>
        <v>53993540.793093249</v>
      </c>
      <c r="K17" s="74">
        <f t="shared" si="1"/>
        <v>56023553.798058055</v>
      </c>
      <c r="L17" s="74">
        <f t="shared" si="1"/>
        <v>58092232.692873202</v>
      </c>
      <c r="M17" s="74">
        <f t="shared" si="1"/>
        <v>60200279.184845291</v>
      </c>
      <c r="O17" s="191"/>
    </row>
    <row r="18" spans="1:15" s="44" customFormat="1" x14ac:dyDescent="0.25">
      <c r="A18" s="69" t="s">
        <v>1185</v>
      </c>
      <c r="B18" s="72"/>
      <c r="C18" s="74">
        <f>SUMIF($A$23:$A$233,$A18,C$23:C$233)</f>
        <v>-12581308.515800137</v>
      </c>
      <c r="D18" s="74">
        <f t="shared" ref="D18:M18" si="2">SUMIF($A$23:$A$233,$A18,D$23:D$233)</f>
        <v>-16407970.16758086</v>
      </c>
      <c r="E18" s="74">
        <f t="shared" si="2"/>
        <v>-17089627.053106412</v>
      </c>
      <c r="F18" s="74">
        <f t="shared" si="2"/>
        <v>-17915892.648284897</v>
      </c>
      <c r="G18" s="74">
        <f t="shared" si="2"/>
        <v>-18769083.268485844</v>
      </c>
      <c r="H18" s="74">
        <f t="shared" si="2"/>
        <v>-19665667.056957241</v>
      </c>
      <c r="I18" s="74">
        <f t="shared" si="2"/>
        <v>-20604082.380250145</v>
      </c>
      <c r="J18" s="74">
        <f t="shared" si="2"/>
        <v>-21594265.991992373</v>
      </c>
      <c r="K18" s="74">
        <f t="shared" si="2"/>
        <v>-22626668.515668664</v>
      </c>
      <c r="L18" s="74">
        <f t="shared" si="2"/>
        <v>-23712341.313204881</v>
      </c>
      <c r="M18" s="74">
        <f t="shared" si="2"/>
        <v>-24847204.982605368</v>
      </c>
      <c r="O18" s="191"/>
    </row>
    <row r="19" spans="1:15" x14ac:dyDescent="0.25">
      <c r="A19" s="68" t="s">
        <v>624</v>
      </c>
      <c r="B19" s="70"/>
      <c r="C19" s="73">
        <f>SUMIF($A$23:$A$233,$A19,C$23:C$233)</f>
        <v>2211667061.5750217</v>
      </c>
      <c r="D19" s="73">
        <f t="shared" ref="D19:M21" si="3">SUMIF($A$23:$A$233,$A19,D$23:D$233)</f>
        <v>2309341096.0840936</v>
      </c>
      <c r="E19" s="73">
        <f t="shared" si="3"/>
        <v>2384040831.8719525</v>
      </c>
      <c r="F19" s="73">
        <f t="shared" si="3"/>
        <v>2461287668.2842941</v>
      </c>
      <c r="G19" s="73">
        <f t="shared" si="3"/>
        <v>2540061191.3640881</v>
      </c>
      <c r="H19" s="73">
        <f t="shared" si="3"/>
        <v>2620857288.8157454</v>
      </c>
      <c r="I19" s="73">
        <f t="shared" si="3"/>
        <v>2703263196.3420238</v>
      </c>
      <c r="J19" s="73">
        <f t="shared" si="3"/>
        <v>2787096149.4625506</v>
      </c>
      <c r="K19" s="73">
        <f t="shared" si="3"/>
        <v>2874490063.9218049</v>
      </c>
      <c r="L19" s="73">
        <f t="shared" si="3"/>
        <v>2964482113.20328</v>
      </c>
      <c r="M19" s="73">
        <f t="shared" si="3"/>
        <v>3057773070.2249103</v>
      </c>
      <c r="O19" s="191"/>
    </row>
    <row r="20" spans="1:15" x14ac:dyDescent="0.25">
      <c r="A20" s="68" t="s">
        <v>625</v>
      </c>
      <c r="B20" s="70"/>
      <c r="C20" s="73">
        <f>SUMIF($A$23:$A$233,$A20,C$23:C$233)</f>
        <v>-706624027.40620065</v>
      </c>
      <c r="D20" s="73">
        <f t="shared" si="3"/>
        <v>-736146943.5980283</v>
      </c>
      <c r="E20" s="73">
        <f t="shared" si="3"/>
        <v>-772469920.03580773</v>
      </c>
      <c r="F20" s="73">
        <f t="shared" si="3"/>
        <v>-808808303.51573646</v>
      </c>
      <c r="G20" s="73">
        <f t="shared" si="3"/>
        <v>-847618354.10988271</v>
      </c>
      <c r="H20" s="73">
        <f t="shared" si="3"/>
        <v>-888192227.59129775</v>
      </c>
      <c r="I20" s="73">
        <f t="shared" si="3"/>
        <v>-930319740.03302336</v>
      </c>
      <c r="J20" s="73">
        <f t="shared" si="3"/>
        <v>-974719688.30381489</v>
      </c>
      <c r="K20" s="73">
        <f t="shared" si="3"/>
        <v>-1021104926.9535795</v>
      </c>
      <c r="L20" s="73">
        <f t="shared" si="3"/>
        <v>-1068912321.5295708</v>
      </c>
      <c r="M20" s="73">
        <f t="shared" si="3"/>
        <v>-1119937983.4523878</v>
      </c>
      <c r="O20" s="191"/>
    </row>
    <row r="21" spans="1:15" x14ac:dyDescent="0.25">
      <c r="A21" s="68" t="s">
        <v>626</v>
      </c>
      <c r="B21" s="70"/>
      <c r="C21" s="73">
        <f>SUMIF($A$23:$A$233,$A21,C$23:C$233)</f>
        <v>1505043034.1688211</v>
      </c>
      <c r="D21" s="73">
        <f t="shared" si="3"/>
        <v>1573194152.4860656</v>
      </c>
      <c r="E21" s="73">
        <f t="shared" si="3"/>
        <v>1611570911.8361456</v>
      </c>
      <c r="F21" s="73">
        <f t="shared" si="3"/>
        <v>1652479364.768558</v>
      </c>
      <c r="G21" s="73">
        <f t="shared" si="3"/>
        <v>1692442837.2542064</v>
      </c>
      <c r="H21" s="73">
        <f t="shared" si="3"/>
        <v>1732665061.2244482</v>
      </c>
      <c r="I21" s="73">
        <f t="shared" si="3"/>
        <v>1772943456.309</v>
      </c>
      <c r="J21" s="73">
        <f t="shared" si="3"/>
        <v>1812376461.1587358</v>
      </c>
      <c r="K21" s="73">
        <f t="shared" si="3"/>
        <v>1853385136.968226</v>
      </c>
      <c r="L21" s="73">
        <f t="shared" si="3"/>
        <v>1895569791.6737101</v>
      </c>
      <c r="M21" s="73">
        <f t="shared" si="3"/>
        <v>1937835086.7725227</v>
      </c>
      <c r="O21" s="191"/>
    </row>
    <row r="22" spans="1:15" x14ac:dyDescent="0.25">
      <c r="C22" s="156">
        <f>C8+C11+C12+C13+C17-C19</f>
        <v>0</v>
      </c>
      <c r="D22" s="156">
        <f t="shared" ref="D22:M22" si="4">D8+D11+D12+D13+D17-D19</f>
        <v>0</v>
      </c>
      <c r="E22" s="156">
        <f t="shared" si="4"/>
        <v>0</v>
      </c>
      <c r="F22" s="156">
        <f t="shared" si="4"/>
        <v>0</v>
      </c>
      <c r="G22" s="156">
        <f t="shared" si="4"/>
        <v>0</v>
      </c>
      <c r="H22" s="156">
        <f t="shared" si="4"/>
        <v>0</v>
      </c>
      <c r="I22" s="156">
        <f t="shared" si="4"/>
        <v>0</v>
      </c>
      <c r="J22" s="156">
        <f t="shared" si="4"/>
        <v>0</v>
      </c>
      <c r="K22" s="156">
        <f t="shared" si="4"/>
        <v>0</v>
      </c>
      <c r="L22" s="156">
        <f t="shared" si="4"/>
        <v>0</v>
      </c>
      <c r="M22" s="156">
        <f t="shared" si="4"/>
        <v>0</v>
      </c>
      <c r="O22" s="191"/>
    </row>
    <row r="23" spans="1:15" x14ac:dyDescent="0.25">
      <c r="A23" s="64" t="s">
        <v>627</v>
      </c>
      <c r="C23" s="156">
        <f>C9+C14+C16+C18-C20</f>
        <v>0</v>
      </c>
      <c r="D23" s="156">
        <f t="shared" ref="D23:M23" si="5">D9+D14+D16+D18-D20</f>
        <v>0</v>
      </c>
      <c r="E23" s="156">
        <f t="shared" si="5"/>
        <v>0</v>
      </c>
      <c r="F23" s="156">
        <f t="shared" si="5"/>
        <v>0</v>
      </c>
      <c r="G23" s="156">
        <f t="shared" si="5"/>
        <v>0</v>
      </c>
      <c r="H23" s="156">
        <f t="shared" si="5"/>
        <v>0</v>
      </c>
      <c r="I23" s="156">
        <f t="shared" si="5"/>
        <v>0</v>
      </c>
      <c r="J23" s="156">
        <f t="shared" si="5"/>
        <v>0</v>
      </c>
      <c r="K23" s="156">
        <f t="shared" si="5"/>
        <v>0</v>
      </c>
      <c r="L23" s="156">
        <f t="shared" si="5"/>
        <v>0</v>
      </c>
      <c r="M23" s="156">
        <f t="shared" si="5"/>
        <v>0</v>
      </c>
      <c r="O23" s="191"/>
    </row>
    <row r="24" spans="1:15" x14ac:dyDescent="0.25">
      <c r="A24" s="75" t="s">
        <v>617</v>
      </c>
      <c r="B24" s="77"/>
      <c r="C24" s="80">
        <v>24077892.418765143</v>
      </c>
      <c r="D24" s="80">
        <f>C33</f>
        <v>24838776.255067371</v>
      </c>
      <c r="E24" s="80">
        <f t="shared" ref="E24:M26" si="6">D33</f>
        <v>28140993.768660165</v>
      </c>
      <c r="F24" s="80">
        <f t="shared" si="6"/>
        <v>29158162.580016468</v>
      </c>
      <c r="G24" s="80">
        <f t="shared" si="6"/>
        <v>31657569.547298834</v>
      </c>
      <c r="H24" s="80">
        <f t="shared" si="6"/>
        <v>33675289.981777094</v>
      </c>
      <c r="I24" s="80">
        <f t="shared" si="6"/>
        <v>35273622.419944264</v>
      </c>
      <c r="J24" s="80">
        <f t="shared" si="6"/>
        <v>37850983.989298731</v>
      </c>
      <c r="K24" s="80">
        <f t="shared" si="6"/>
        <v>38807699.250802629</v>
      </c>
      <c r="L24" s="80">
        <f t="shared" si="6"/>
        <v>41352861.442627616</v>
      </c>
      <c r="M24" s="80">
        <f t="shared" si="6"/>
        <v>44375163.598203823</v>
      </c>
      <c r="O24" s="191"/>
    </row>
    <row r="25" spans="1:15" x14ac:dyDescent="0.25">
      <c r="A25" s="75" t="s">
        <v>618</v>
      </c>
      <c r="B25" s="77"/>
      <c r="C25" s="80">
        <v>-9698595.8499999996</v>
      </c>
      <c r="D25" s="80">
        <f t="shared" ref="D25:D26" si="7">C34</f>
        <v>-11566468.132966224</v>
      </c>
      <c r="E25" s="80">
        <f t="shared" si="6"/>
        <v>-11860751.49304226</v>
      </c>
      <c r="F25" s="80">
        <f t="shared" si="6"/>
        <v>-13176920.197488228</v>
      </c>
      <c r="G25" s="80">
        <f t="shared" si="6"/>
        <v>-13448847.81829353</v>
      </c>
      <c r="H25" s="80">
        <f t="shared" si="6"/>
        <v>-14456077.276656574</v>
      </c>
      <c r="I25" s="80">
        <f t="shared" si="6"/>
        <v>-15571584.217648515</v>
      </c>
      <c r="J25" s="80">
        <f t="shared" si="6"/>
        <v>-16173310.361393472</v>
      </c>
      <c r="K25" s="80">
        <f t="shared" si="6"/>
        <v>-17418463.216420613</v>
      </c>
      <c r="L25" s="80">
        <f t="shared" si="6"/>
        <v>-18522216.713724356</v>
      </c>
      <c r="M25" s="80">
        <f t="shared" si="6"/>
        <v>-19065123.071691267</v>
      </c>
      <c r="O25" s="191"/>
    </row>
    <row r="26" spans="1:15" x14ac:dyDescent="0.25">
      <c r="A26" s="75" t="s">
        <v>619</v>
      </c>
      <c r="B26" s="77"/>
      <c r="C26" s="80">
        <f>C24+C25</f>
        <v>14379296.568765143</v>
      </c>
      <c r="D26" s="80">
        <f t="shared" si="7"/>
        <v>13272308.122101147</v>
      </c>
      <c r="E26" s="80">
        <f t="shared" si="6"/>
        <v>16280242.275617905</v>
      </c>
      <c r="F26" s="80">
        <f t="shared" si="6"/>
        <v>15981242.38252824</v>
      </c>
      <c r="G26" s="80">
        <f t="shared" si="6"/>
        <v>18208721.729005303</v>
      </c>
      <c r="H26" s="80">
        <f t="shared" si="6"/>
        <v>19219212.705120519</v>
      </c>
      <c r="I26" s="80">
        <f t="shared" si="6"/>
        <v>19702038.20229575</v>
      </c>
      <c r="J26" s="80">
        <f t="shared" si="6"/>
        <v>21677673.627905257</v>
      </c>
      <c r="K26" s="80">
        <f t="shared" si="6"/>
        <v>21389236.034382015</v>
      </c>
      <c r="L26" s="80">
        <f t="shared" si="6"/>
        <v>22830644.72890326</v>
      </c>
      <c r="M26" s="80">
        <f t="shared" si="6"/>
        <v>25310040.526512556</v>
      </c>
      <c r="O26" s="191"/>
    </row>
    <row r="27" spans="1:15" x14ac:dyDescent="0.25">
      <c r="A27" s="76" t="s">
        <v>1165</v>
      </c>
      <c r="B27" s="78"/>
      <c r="C27" s="81">
        <f>'Capital Works'!D11</f>
        <v>3402025.14</v>
      </c>
      <c r="D27" s="81">
        <f>'Capital Works'!E11</f>
        <v>7355755</v>
      </c>
      <c r="E27" s="81">
        <f>'Capital Works'!F11</f>
        <v>2933255</v>
      </c>
      <c r="F27" s="81">
        <f>'Capital Works'!G11</f>
        <v>6723831</v>
      </c>
      <c r="G27" s="81">
        <f>'Capital Works'!H11</f>
        <v>5001865</v>
      </c>
      <c r="H27" s="81">
        <f>'Capital Works'!I11</f>
        <v>4366770</v>
      </c>
      <c r="I27" s="81">
        <f>'Capital Works'!J11</f>
        <v>6682071</v>
      </c>
      <c r="J27" s="81">
        <f>'Capital Works'!K11</f>
        <v>3762930</v>
      </c>
      <c r="K27" s="81">
        <f>'Capital Works'!L11</f>
        <v>5861374</v>
      </c>
      <c r="L27" s="81">
        <f>'Capital Works'!M11</f>
        <v>7999981</v>
      </c>
      <c r="M27" s="81">
        <f>'Capital Works'!N11</f>
        <v>4056303</v>
      </c>
      <c r="O27" s="191"/>
    </row>
    <row r="28" spans="1:15" x14ac:dyDescent="0.25">
      <c r="A28" s="76" t="s">
        <v>620</v>
      </c>
      <c r="B28" s="78">
        <v>2</v>
      </c>
      <c r="C28" s="81">
        <f>'[4]10 Year Plan'!B140*$B$28</f>
        <v>-2641141.3036977719</v>
      </c>
      <c r="D28" s="81">
        <f>'[4]10 Year Plan'!C140*$B$28</f>
        <v>-4053537.4864072073</v>
      </c>
      <c r="E28" s="81">
        <f>'[4]10 Year Plan'!D140*$B$28</f>
        <v>-1916086.1886436965</v>
      </c>
      <c r="F28" s="81">
        <f>'[4]10 Year Plan'!E140*$B$28</f>
        <v>-4224424.0327176321</v>
      </c>
      <c r="G28" s="81">
        <f>'[4]10 Year Plan'!F140*$B$28</f>
        <v>-2984144.565521738</v>
      </c>
      <c r="H28" s="81">
        <f>'[4]10 Year Plan'!G140*$B$28</f>
        <v>-2768437.5618328312</v>
      </c>
      <c r="I28" s="81">
        <f>'[4]10 Year Plan'!H140*$B$28</f>
        <v>-4104709.4306455306</v>
      </c>
      <c r="J28" s="81">
        <f>'[4]10 Year Plan'!I140*$B$28</f>
        <v>-2806214.7384961033</v>
      </c>
      <c r="K28" s="81">
        <f>'[4]10 Year Plan'!J140*$B$28</f>
        <v>-3316211.8081750106</v>
      </c>
      <c r="L28" s="81">
        <f>'[4]10 Year Plan'!K140*$B$28</f>
        <v>-4977678.8444237905</v>
      </c>
      <c r="M28" s="81">
        <f>'[4]10 Year Plan'!L140*$B$28</f>
        <v>-2705834.3321516486</v>
      </c>
      <c r="O28" s="191"/>
    </row>
    <row r="29" spans="1:15" x14ac:dyDescent="0.25">
      <c r="A29" s="76" t="s">
        <v>621</v>
      </c>
      <c r="B29" s="78">
        <v>1.1000000000000001</v>
      </c>
      <c r="C29" s="81">
        <f>-'[4]10 Year Plan'!B140*$B$29</f>
        <v>1452627.7170337746</v>
      </c>
      <c r="D29" s="81">
        <f>-'[4]10 Year Plan'!C140*$B$29</f>
        <v>2229445.617523964</v>
      </c>
      <c r="E29" s="81">
        <f>-'[4]10 Year Plan'!D140*$B$29</f>
        <v>1053847.4037540331</v>
      </c>
      <c r="F29" s="81">
        <f>-'[4]10 Year Plan'!E140*$B$29</f>
        <v>2323433.2179946979</v>
      </c>
      <c r="G29" s="81">
        <f>-'[4]10 Year Plan'!F140*$B$29</f>
        <v>1641279.511036956</v>
      </c>
      <c r="H29" s="81">
        <f>-'[4]10 Year Plan'!G140*$B$29</f>
        <v>1522640.6590080573</v>
      </c>
      <c r="I29" s="81">
        <f>-'[4]10 Year Plan'!H140*$B$29</f>
        <v>2257590.1868550419</v>
      </c>
      <c r="J29" s="81">
        <f>-'[4]10 Year Plan'!I140*$B$29</f>
        <v>1543418.1061728569</v>
      </c>
      <c r="K29" s="81">
        <f>-'[4]10 Year Plan'!J140*$B$29</f>
        <v>1823916.4944962559</v>
      </c>
      <c r="L29" s="81">
        <f>-'[4]10 Year Plan'!K140*$B$29</f>
        <v>2737723.3644330851</v>
      </c>
      <c r="M29" s="81">
        <f>-'[4]10 Year Plan'!L140*$B$29</f>
        <v>1488208.8826834068</v>
      </c>
      <c r="O29" s="191"/>
    </row>
    <row r="30" spans="1:15" x14ac:dyDescent="0.25">
      <c r="A30" s="76" t="s">
        <v>622</v>
      </c>
      <c r="B30" s="78"/>
      <c r="C30" s="81">
        <f>C28+C29</f>
        <v>-1188513.5866639973</v>
      </c>
      <c r="D30" s="81">
        <f t="shared" ref="D30:M30" si="8">D28+D29</f>
        <v>-1824091.8688832433</v>
      </c>
      <c r="E30" s="81">
        <f t="shared" si="8"/>
        <v>-862238.78488966334</v>
      </c>
      <c r="F30" s="81">
        <f t="shared" si="8"/>
        <v>-1900990.8147229343</v>
      </c>
      <c r="G30" s="81">
        <f t="shared" si="8"/>
        <v>-1342865.054484782</v>
      </c>
      <c r="H30" s="81">
        <f t="shared" si="8"/>
        <v>-1245796.9028247739</v>
      </c>
      <c r="I30" s="81">
        <f t="shared" si="8"/>
        <v>-1847119.2437904887</v>
      </c>
      <c r="J30" s="81">
        <f t="shared" si="8"/>
        <v>-1262796.6323232464</v>
      </c>
      <c r="K30" s="81">
        <f t="shared" si="8"/>
        <v>-1492295.3136787547</v>
      </c>
      <c r="L30" s="81">
        <f t="shared" si="8"/>
        <v>-2239955.4799907054</v>
      </c>
      <c r="M30" s="81">
        <f t="shared" si="8"/>
        <v>-1217625.4494682418</v>
      </c>
      <c r="O30" s="191"/>
    </row>
    <row r="31" spans="1:15" x14ac:dyDescent="0.25">
      <c r="A31" s="76" t="s">
        <v>628</v>
      </c>
      <c r="B31" s="78"/>
      <c r="C31" s="81">
        <f>'Depreciable Cost'!B173</f>
        <v>22351918.470000003</v>
      </c>
      <c r="D31" s="81">
        <f>C31+D27-$C$31*0.2</f>
        <v>25237289.776000001</v>
      </c>
      <c r="E31" s="81">
        <f>D31+E27-$C$31*0.2</f>
        <v>23700161.081999999</v>
      </c>
      <c r="F31" s="81">
        <f t="shared" ref="F31:M31" si="9">E31+F27-$C$31*0.2</f>
        <v>25953608.387999997</v>
      </c>
      <c r="G31" s="81">
        <f t="shared" si="9"/>
        <v>26485089.693999995</v>
      </c>
      <c r="H31" s="81">
        <f t="shared" si="9"/>
        <v>26381475.999999993</v>
      </c>
      <c r="I31" s="81">
        <f t="shared" si="9"/>
        <v>28593163.305999991</v>
      </c>
      <c r="J31" s="81">
        <f t="shared" si="9"/>
        <v>27885709.611999989</v>
      </c>
      <c r="K31" s="81">
        <f t="shared" si="9"/>
        <v>29276699.917999987</v>
      </c>
      <c r="L31" s="81">
        <f t="shared" si="9"/>
        <v>32806297.223999981</v>
      </c>
      <c r="M31" s="81">
        <f t="shared" si="9"/>
        <v>32392216.529999975</v>
      </c>
      <c r="O31" s="191"/>
    </row>
    <row r="32" spans="1:15" x14ac:dyDescent="0.25">
      <c r="A32" s="76" t="s">
        <v>623</v>
      </c>
      <c r="B32" s="79">
        <v>0.1</v>
      </c>
      <c r="C32" s="81">
        <f>-TB!D74</f>
        <v>-3320500</v>
      </c>
      <c r="D32" s="81">
        <f>-D31*$B$32</f>
        <v>-2523728.9776000003</v>
      </c>
      <c r="E32" s="81">
        <f t="shared" ref="E32:M32" si="10">-E31*$B$32</f>
        <v>-2370016.1082000001</v>
      </c>
      <c r="F32" s="81">
        <f t="shared" si="10"/>
        <v>-2595360.8388</v>
      </c>
      <c r="G32" s="81">
        <f t="shared" si="10"/>
        <v>-2648508.9693999998</v>
      </c>
      <c r="H32" s="81">
        <f t="shared" si="10"/>
        <v>-2638147.5999999996</v>
      </c>
      <c r="I32" s="81">
        <f t="shared" si="10"/>
        <v>-2859316.3305999991</v>
      </c>
      <c r="J32" s="81">
        <f t="shared" si="10"/>
        <v>-2788570.9611999989</v>
      </c>
      <c r="K32" s="81">
        <f t="shared" si="10"/>
        <v>-2927669.991799999</v>
      </c>
      <c r="L32" s="81">
        <f t="shared" si="10"/>
        <v>-3280629.7223999985</v>
      </c>
      <c r="M32" s="81">
        <f t="shared" si="10"/>
        <v>-3239221.6529999976</v>
      </c>
      <c r="O32" s="191"/>
    </row>
    <row r="33" spans="1:15" x14ac:dyDescent="0.25">
      <c r="A33" s="75" t="s">
        <v>624</v>
      </c>
      <c r="B33" s="77"/>
      <c r="C33" s="80">
        <f t="shared" ref="C33:M33" si="11">C24+C27+C28</f>
        <v>24838776.255067371</v>
      </c>
      <c r="D33" s="80">
        <f t="shared" si="11"/>
        <v>28140993.768660165</v>
      </c>
      <c r="E33" s="80">
        <f t="shared" si="11"/>
        <v>29158162.580016468</v>
      </c>
      <c r="F33" s="80">
        <f t="shared" si="11"/>
        <v>31657569.547298834</v>
      </c>
      <c r="G33" s="80">
        <f t="shared" si="11"/>
        <v>33675289.981777094</v>
      </c>
      <c r="H33" s="80">
        <f t="shared" si="11"/>
        <v>35273622.419944264</v>
      </c>
      <c r="I33" s="80">
        <f t="shared" si="11"/>
        <v>37850983.989298731</v>
      </c>
      <c r="J33" s="80">
        <f t="shared" si="11"/>
        <v>38807699.250802629</v>
      </c>
      <c r="K33" s="80">
        <f t="shared" si="11"/>
        <v>41352861.442627616</v>
      </c>
      <c r="L33" s="80">
        <f t="shared" si="11"/>
        <v>44375163.598203823</v>
      </c>
      <c r="M33" s="80">
        <f t="shared" si="11"/>
        <v>45725632.266052172</v>
      </c>
      <c r="O33" s="191"/>
    </row>
    <row r="34" spans="1:15" x14ac:dyDescent="0.25">
      <c r="A34" s="75" t="s">
        <v>625</v>
      </c>
      <c r="B34" s="77"/>
      <c r="C34" s="80">
        <f t="shared" ref="C34:M34" si="12">C25+C29+C32</f>
        <v>-11566468.132966224</v>
      </c>
      <c r="D34" s="80">
        <f t="shared" si="12"/>
        <v>-11860751.49304226</v>
      </c>
      <c r="E34" s="80">
        <f t="shared" si="12"/>
        <v>-13176920.197488228</v>
      </c>
      <c r="F34" s="80">
        <f t="shared" si="12"/>
        <v>-13448847.81829353</v>
      </c>
      <c r="G34" s="80">
        <f t="shared" si="12"/>
        <v>-14456077.276656574</v>
      </c>
      <c r="H34" s="80">
        <f t="shared" si="12"/>
        <v>-15571584.217648515</v>
      </c>
      <c r="I34" s="80">
        <f t="shared" si="12"/>
        <v>-16173310.361393472</v>
      </c>
      <c r="J34" s="80">
        <f t="shared" si="12"/>
        <v>-17418463.216420613</v>
      </c>
      <c r="K34" s="80">
        <f t="shared" si="12"/>
        <v>-18522216.713724356</v>
      </c>
      <c r="L34" s="80">
        <f t="shared" si="12"/>
        <v>-19065123.071691267</v>
      </c>
      <c r="M34" s="80">
        <f t="shared" si="12"/>
        <v>-20816135.842007857</v>
      </c>
      <c r="O34" s="191"/>
    </row>
    <row r="35" spans="1:15" x14ac:dyDescent="0.25">
      <c r="A35" s="75" t="s">
        <v>626</v>
      </c>
      <c r="B35" s="77"/>
      <c r="C35" s="80">
        <f>C33+C34</f>
        <v>13272308.122101147</v>
      </c>
      <c r="D35" s="80">
        <f t="shared" ref="D35:M35" si="13">D33+D34</f>
        <v>16280242.275617905</v>
      </c>
      <c r="E35" s="80">
        <f t="shared" si="13"/>
        <v>15981242.38252824</v>
      </c>
      <c r="F35" s="80">
        <f t="shared" si="13"/>
        <v>18208721.729005303</v>
      </c>
      <c r="G35" s="80">
        <f t="shared" si="13"/>
        <v>19219212.705120519</v>
      </c>
      <c r="H35" s="80">
        <f t="shared" si="13"/>
        <v>19702038.20229575</v>
      </c>
      <c r="I35" s="80">
        <f t="shared" si="13"/>
        <v>21677673.627905257</v>
      </c>
      <c r="J35" s="80">
        <f t="shared" si="13"/>
        <v>21389236.034382015</v>
      </c>
      <c r="K35" s="80">
        <f t="shared" si="13"/>
        <v>22830644.72890326</v>
      </c>
      <c r="L35" s="80">
        <f t="shared" si="13"/>
        <v>25310040.526512556</v>
      </c>
      <c r="M35" s="80">
        <f t="shared" si="13"/>
        <v>24909496.424044315</v>
      </c>
      <c r="O35" s="191"/>
    </row>
    <row r="36" spans="1:15" x14ac:dyDescent="0.25">
      <c r="O36" s="191"/>
    </row>
    <row r="37" spans="1:15" x14ac:dyDescent="0.25">
      <c r="A37" s="64" t="s">
        <v>601</v>
      </c>
      <c r="O37" s="191"/>
    </row>
    <row r="38" spans="1:15" x14ac:dyDescent="0.25">
      <c r="A38" s="75" t="s">
        <v>617</v>
      </c>
      <c r="B38" s="77"/>
      <c r="C38" s="80">
        <v>28273663.7563398</v>
      </c>
      <c r="D38" s="80">
        <f>C47</f>
        <v>28643663.7563398</v>
      </c>
      <c r="E38" s="80">
        <f t="shared" ref="E38:M40" si="14">D47</f>
        <v>29843663.7563398</v>
      </c>
      <c r="F38" s="80">
        <f t="shared" si="14"/>
        <v>31043663.7563398</v>
      </c>
      <c r="G38" s="80">
        <f t="shared" si="14"/>
        <v>32243663.7563398</v>
      </c>
      <c r="H38" s="80">
        <f t="shared" si="14"/>
        <v>33443663.7563398</v>
      </c>
      <c r="I38" s="80">
        <f t="shared" si="14"/>
        <v>34643663.756339803</v>
      </c>
      <c r="J38" s="80">
        <f t="shared" si="14"/>
        <v>35643663.756339803</v>
      </c>
      <c r="K38" s="80">
        <f t="shared" si="14"/>
        <v>36143663.756339803</v>
      </c>
      <c r="L38" s="80">
        <f t="shared" si="14"/>
        <v>37143663.756339803</v>
      </c>
      <c r="M38" s="80">
        <f t="shared" si="14"/>
        <v>38643663.756339803</v>
      </c>
      <c r="O38" s="191"/>
    </row>
    <row r="39" spans="1:15" x14ac:dyDescent="0.25">
      <c r="A39" s="75" t="s">
        <v>618</v>
      </c>
      <c r="B39" s="77"/>
      <c r="C39" s="80">
        <v>-18403140.98</v>
      </c>
      <c r="D39" s="80">
        <f t="shared" ref="D39:D40" si="15">C48</f>
        <v>-19796652.98</v>
      </c>
      <c r="E39" s="80">
        <f t="shared" si="14"/>
        <v>-20948286.331022002</v>
      </c>
      <c r="F39" s="80">
        <f t="shared" si="14"/>
        <v>-22074627.087486003</v>
      </c>
      <c r="G39" s="80">
        <f t="shared" si="14"/>
        <v>-23175675.249392003</v>
      </c>
      <c r="H39" s="80">
        <f t="shared" si="14"/>
        <v>-24251430.816740002</v>
      </c>
      <c r="I39" s="80">
        <f t="shared" si="14"/>
        <v>-25301893.789530002</v>
      </c>
      <c r="J39" s="80">
        <f t="shared" si="14"/>
        <v>-26311664.167762</v>
      </c>
      <c r="K39" s="80">
        <f t="shared" si="14"/>
        <v>-27242241.951435998</v>
      </c>
      <c r="L39" s="80">
        <f t="shared" si="14"/>
        <v>-28132127.140551999</v>
      </c>
      <c r="M39" s="80">
        <f t="shared" si="14"/>
        <v>-29019819.73511</v>
      </c>
      <c r="O39" s="191"/>
    </row>
    <row r="40" spans="1:15" x14ac:dyDescent="0.25">
      <c r="A40" s="75" t="s">
        <v>619</v>
      </c>
      <c r="B40" s="77"/>
      <c r="C40" s="80">
        <f>C38+C39</f>
        <v>9870522.7763397992</v>
      </c>
      <c r="D40" s="80">
        <f t="shared" si="15"/>
        <v>8847010.7763397992</v>
      </c>
      <c r="E40" s="80">
        <f t="shared" si="14"/>
        <v>8895377.4253177978</v>
      </c>
      <c r="F40" s="80">
        <f t="shared" si="14"/>
        <v>8969036.668853797</v>
      </c>
      <c r="G40" s="80">
        <f t="shared" si="14"/>
        <v>9067988.5069477968</v>
      </c>
      <c r="H40" s="80">
        <f t="shared" si="14"/>
        <v>9192232.9395997971</v>
      </c>
      <c r="I40" s="80">
        <f t="shared" si="14"/>
        <v>9341769.9668098018</v>
      </c>
      <c r="J40" s="80">
        <f t="shared" si="14"/>
        <v>9331999.5885778032</v>
      </c>
      <c r="K40" s="80">
        <f t="shared" si="14"/>
        <v>8901421.8049038053</v>
      </c>
      <c r="L40" s="80">
        <f t="shared" si="14"/>
        <v>9011536.6157878041</v>
      </c>
      <c r="M40" s="80">
        <f t="shared" si="14"/>
        <v>9623844.0212298036</v>
      </c>
      <c r="O40" s="191"/>
    </row>
    <row r="41" spans="1:15" x14ac:dyDescent="0.25">
      <c r="A41" s="76" t="s">
        <v>1165</v>
      </c>
      <c r="B41" s="78"/>
      <c r="C41" s="81">
        <f>'Capital Works'!D16</f>
        <v>370000</v>
      </c>
      <c r="D41" s="81">
        <f>'Capital Works'!E16</f>
        <v>1200000</v>
      </c>
      <c r="E41" s="81">
        <f>'Capital Works'!F16</f>
        <v>1200000</v>
      </c>
      <c r="F41" s="81">
        <f>'Capital Works'!G16</f>
        <v>1200000</v>
      </c>
      <c r="G41" s="81">
        <f>'Capital Works'!H16</f>
        <v>1200000</v>
      </c>
      <c r="H41" s="81">
        <f>'Capital Works'!I16</f>
        <v>1200000</v>
      </c>
      <c r="I41" s="81">
        <f>'Capital Works'!J16</f>
        <v>1000000</v>
      </c>
      <c r="J41" s="81">
        <f>'Capital Works'!K16</f>
        <v>500000</v>
      </c>
      <c r="K41" s="81">
        <f>'Capital Works'!L16</f>
        <v>1000000</v>
      </c>
      <c r="L41" s="81">
        <f>'Capital Works'!M16</f>
        <v>1500000</v>
      </c>
      <c r="M41" s="81">
        <f>'Capital Works'!N16</f>
        <v>2000000</v>
      </c>
      <c r="O41" s="191"/>
    </row>
    <row r="42" spans="1:15" x14ac:dyDescent="0.25">
      <c r="A42" s="76" t="s">
        <v>620</v>
      </c>
      <c r="B42" s="78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O42" s="191"/>
    </row>
    <row r="43" spans="1:15" x14ac:dyDescent="0.25">
      <c r="A43" s="76" t="s">
        <v>621</v>
      </c>
      <c r="B43" s="78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O43" s="191"/>
    </row>
    <row r="44" spans="1:15" x14ac:dyDescent="0.25">
      <c r="A44" s="76" t="s">
        <v>622</v>
      </c>
      <c r="B44" s="78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O44" s="191"/>
    </row>
    <row r="45" spans="1:15" x14ac:dyDescent="0.25">
      <c r="A45" s="76" t="s">
        <v>628</v>
      </c>
      <c r="B45" s="78"/>
      <c r="C45" s="81">
        <f>'Depreciable Cost'!B36</f>
        <v>15284752.539999999</v>
      </c>
      <c r="D45" s="81">
        <f>C45+D41-$C$45*0.1</f>
        <v>14956277.285999998</v>
      </c>
      <c r="E45" s="81">
        <f t="shared" ref="E45:M45" si="16">D45+E41-$C$45*0.1</f>
        <v>14627802.031999998</v>
      </c>
      <c r="F45" s="81">
        <f t="shared" si="16"/>
        <v>14299326.777999997</v>
      </c>
      <c r="G45" s="81">
        <f t="shared" si="16"/>
        <v>13970851.523999996</v>
      </c>
      <c r="H45" s="81">
        <f t="shared" si="16"/>
        <v>13642376.269999996</v>
      </c>
      <c r="I45" s="81">
        <f t="shared" si="16"/>
        <v>13113901.015999995</v>
      </c>
      <c r="J45" s="81">
        <f t="shared" si="16"/>
        <v>12085425.761999995</v>
      </c>
      <c r="K45" s="81">
        <f t="shared" si="16"/>
        <v>11556950.507999994</v>
      </c>
      <c r="L45" s="81">
        <f t="shared" si="16"/>
        <v>11528475.253999993</v>
      </c>
      <c r="M45" s="81">
        <f t="shared" si="16"/>
        <v>11999999.999999993</v>
      </c>
      <c r="O45" s="191"/>
    </row>
    <row r="46" spans="1:15" x14ac:dyDescent="0.25">
      <c r="A46" s="76" t="s">
        <v>623</v>
      </c>
      <c r="B46" s="79">
        <v>7.6999999999999999E-2</v>
      </c>
      <c r="C46" s="81">
        <f>-TB!D75</f>
        <v>-1393512</v>
      </c>
      <c r="D46" s="81">
        <f>-D45*$B$46</f>
        <v>-1151633.351022</v>
      </c>
      <c r="E46" s="81">
        <f t="shared" ref="E46:M46" si="17">-E45*$B$46</f>
        <v>-1126340.7564639999</v>
      </c>
      <c r="F46" s="81">
        <f t="shared" si="17"/>
        <v>-1101048.1619059998</v>
      </c>
      <c r="G46" s="81">
        <f t="shared" si="17"/>
        <v>-1075755.5673479997</v>
      </c>
      <c r="H46" s="81">
        <f t="shared" si="17"/>
        <v>-1050462.9727899996</v>
      </c>
      <c r="I46" s="81">
        <f t="shared" si="17"/>
        <v>-1009770.3782319996</v>
      </c>
      <c r="J46" s="81">
        <f t="shared" si="17"/>
        <v>-930577.7836739996</v>
      </c>
      <c r="K46" s="81">
        <f t="shared" si="17"/>
        <v>-889885.1891159995</v>
      </c>
      <c r="L46" s="81">
        <f t="shared" si="17"/>
        <v>-887692.59455799952</v>
      </c>
      <c r="M46" s="81">
        <f t="shared" si="17"/>
        <v>-923999.99999999942</v>
      </c>
      <c r="O46" s="191"/>
    </row>
    <row r="47" spans="1:15" x14ac:dyDescent="0.25">
      <c r="A47" s="75" t="s">
        <v>624</v>
      </c>
      <c r="B47" s="77"/>
      <c r="C47" s="80">
        <f>C38+C41+C42</f>
        <v>28643663.7563398</v>
      </c>
      <c r="D47" s="80">
        <f t="shared" ref="D47:M47" si="18">D38+D41+D42</f>
        <v>29843663.7563398</v>
      </c>
      <c r="E47" s="80">
        <f t="shared" si="18"/>
        <v>31043663.7563398</v>
      </c>
      <c r="F47" s="80">
        <f t="shared" si="18"/>
        <v>32243663.7563398</v>
      </c>
      <c r="G47" s="80">
        <f t="shared" si="18"/>
        <v>33443663.7563398</v>
      </c>
      <c r="H47" s="80">
        <f t="shared" si="18"/>
        <v>34643663.756339803</v>
      </c>
      <c r="I47" s="80">
        <f t="shared" si="18"/>
        <v>35643663.756339803</v>
      </c>
      <c r="J47" s="80">
        <f t="shared" si="18"/>
        <v>36143663.756339803</v>
      </c>
      <c r="K47" s="80">
        <f t="shared" si="18"/>
        <v>37143663.756339803</v>
      </c>
      <c r="L47" s="80">
        <f t="shared" si="18"/>
        <v>38643663.756339803</v>
      </c>
      <c r="M47" s="80">
        <f t="shared" si="18"/>
        <v>40643663.756339803</v>
      </c>
      <c r="O47" s="191"/>
    </row>
    <row r="48" spans="1:15" x14ac:dyDescent="0.25">
      <c r="A48" s="75" t="s">
        <v>625</v>
      </c>
      <c r="B48" s="77"/>
      <c r="C48" s="80">
        <f>C39+C43+C46</f>
        <v>-19796652.98</v>
      </c>
      <c r="D48" s="80">
        <f t="shared" ref="D48:M48" si="19">D39+D43+D46</f>
        <v>-20948286.331022002</v>
      </c>
      <c r="E48" s="80">
        <f t="shared" si="19"/>
        <v>-22074627.087486003</v>
      </c>
      <c r="F48" s="80">
        <f t="shared" si="19"/>
        <v>-23175675.249392003</v>
      </c>
      <c r="G48" s="80">
        <f t="shared" si="19"/>
        <v>-24251430.816740002</v>
      </c>
      <c r="H48" s="80">
        <f t="shared" si="19"/>
        <v>-25301893.789530002</v>
      </c>
      <c r="I48" s="80">
        <f t="shared" si="19"/>
        <v>-26311664.167762</v>
      </c>
      <c r="J48" s="80">
        <f t="shared" si="19"/>
        <v>-27242241.951435998</v>
      </c>
      <c r="K48" s="80">
        <f t="shared" si="19"/>
        <v>-28132127.140551999</v>
      </c>
      <c r="L48" s="80">
        <f t="shared" si="19"/>
        <v>-29019819.73511</v>
      </c>
      <c r="M48" s="80">
        <f t="shared" si="19"/>
        <v>-29943819.73511</v>
      </c>
      <c r="O48" s="191"/>
    </row>
    <row r="49" spans="1:15" x14ac:dyDescent="0.25">
      <c r="A49" s="75" t="s">
        <v>626</v>
      </c>
      <c r="B49" s="77"/>
      <c r="C49" s="80">
        <f>C47+C48</f>
        <v>8847010.7763397992</v>
      </c>
      <c r="D49" s="80">
        <f t="shared" ref="D49:M49" si="20">D47+D48</f>
        <v>8895377.4253177978</v>
      </c>
      <c r="E49" s="80">
        <f t="shared" si="20"/>
        <v>8969036.668853797</v>
      </c>
      <c r="F49" s="80">
        <f t="shared" si="20"/>
        <v>9067988.5069477968</v>
      </c>
      <c r="G49" s="80">
        <f t="shared" si="20"/>
        <v>9192232.9395997971</v>
      </c>
      <c r="H49" s="80">
        <f t="shared" si="20"/>
        <v>9341769.9668098018</v>
      </c>
      <c r="I49" s="80">
        <f t="shared" si="20"/>
        <v>9331999.5885778032</v>
      </c>
      <c r="J49" s="80">
        <f t="shared" si="20"/>
        <v>8901421.8049038053</v>
      </c>
      <c r="K49" s="80">
        <f t="shared" si="20"/>
        <v>9011536.6157878041</v>
      </c>
      <c r="L49" s="80">
        <f t="shared" si="20"/>
        <v>9623844.0212298036</v>
      </c>
      <c r="M49" s="80">
        <f t="shared" si="20"/>
        <v>10699844.021229804</v>
      </c>
      <c r="O49" s="191"/>
    </row>
    <row r="50" spans="1:15" x14ac:dyDescent="0.25">
      <c r="O50" s="191"/>
    </row>
    <row r="51" spans="1:15" x14ac:dyDescent="0.25">
      <c r="A51" s="64" t="s">
        <v>602</v>
      </c>
      <c r="O51" s="191"/>
    </row>
    <row r="52" spans="1:15" x14ac:dyDescent="0.25">
      <c r="A52" s="75" t="s">
        <v>617</v>
      </c>
      <c r="B52" s="77"/>
      <c r="C52" s="80">
        <v>8046056.1693886817</v>
      </c>
      <c r="D52" s="80">
        <f>C61</f>
        <v>8346056.1693886817</v>
      </c>
      <c r="E52" s="80">
        <f t="shared" ref="E52:M54" si="21">D61</f>
        <v>8646056.1693886817</v>
      </c>
      <c r="F52" s="80">
        <f t="shared" si="21"/>
        <v>8946056.1693886817</v>
      </c>
      <c r="G52" s="80">
        <f t="shared" si="21"/>
        <v>9246056.1693886817</v>
      </c>
      <c r="H52" s="80">
        <f t="shared" si="21"/>
        <v>9546056.1693886817</v>
      </c>
      <c r="I52" s="80">
        <f t="shared" si="21"/>
        <v>9846056.1693886817</v>
      </c>
      <c r="J52" s="80">
        <f t="shared" si="21"/>
        <v>10146056.169388682</v>
      </c>
      <c r="K52" s="80">
        <f t="shared" si="21"/>
        <v>10446056.169388682</v>
      </c>
      <c r="L52" s="80">
        <f t="shared" si="21"/>
        <v>10746056.169388682</v>
      </c>
      <c r="M52" s="80">
        <f t="shared" si="21"/>
        <v>11046056.169388682</v>
      </c>
      <c r="O52" s="191"/>
    </row>
    <row r="53" spans="1:15" x14ac:dyDescent="0.25">
      <c r="A53" s="75" t="s">
        <v>618</v>
      </c>
      <c r="B53" s="77"/>
      <c r="C53" s="80">
        <v>-5286812.05</v>
      </c>
      <c r="D53" s="80">
        <f t="shared" ref="D53:D54" si="22">C62</f>
        <v>-5561512.0499999998</v>
      </c>
      <c r="E53" s="80">
        <f t="shared" si="21"/>
        <v>-5831026.0575000001</v>
      </c>
      <c r="F53" s="80">
        <f t="shared" si="21"/>
        <v>-6103927.3975</v>
      </c>
      <c r="G53" s="80">
        <f t="shared" si="21"/>
        <v>-6380216.0700000003</v>
      </c>
      <c r="H53" s="80">
        <f t="shared" si="21"/>
        <v>-6659892.0750000002</v>
      </c>
      <c r="I53" s="80">
        <f t="shared" si="21"/>
        <v>-6942955.4125000006</v>
      </c>
      <c r="J53" s="80">
        <f t="shared" si="21"/>
        <v>-7229406.0825000005</v>
      </c>
      <c r="K53" s="80">
        <f t="shared" si="21"/>
        <v>-7519244.0850000009</v>
      </c>
      <c r="L53" s="80">
        <f t="shared" si="21"/>
        <v>-7812469.4200000009</v>
      </c>
      <c r="M53" s="80">
        <f t="shared" si="21"/>
        <v>-8109082.0875000013</v>
      </c>
      <c r="O53" s="191"/>
    </row>
    <row r="54" spans="1:15" x14ac:dyDescent="0.25">
      <c r="A54" s="75" t="s">
        <v>619</v>
      </c>
      <c r="B54" s="77"/>
      <c r="C54" s="80">
        <f>C52+C53</f>
        <v>2759244.1193886818</v>
      </c>
      <c r="D54" s="80">
        <f t="shared" si="22"/>
        <v>2784544.1193886818</v>
      </c>
      <c r="E54" s="80">
        <f t="shared" si="21"/>
        <v>2815030.1118886815</v>
      </c>
      <c r="F54" s="80">
        <f t="shared" si="21"/>
        <v>2842128.7718886817</v>
      </c>
      <c r="G54" s="80">
        <f t="shared" si="21"/>
        <v>2865840.0993886814</v>
      </c>
      <c r="H54" s="80">
        <f t="shared" si="21"/>
        <v>2886164.0943886815</v>
      </c>
      <c r="I54" s="80">
        <f t="shared" si="21"/>
        <v>2903100.7568886811</v>
      </c>
      <c r="J54" s="80">
        <f t="shared" si="21"/>
        <v>2916650.0868886812</v>
      </c>
      <c r="K54" s="80">
        <f t="shared" si="21"/>
        <v>2926812.0843886808</v>
      </c>
      <c r="L54" s="80">
        <f t="shared" si="21"/>
        <v>2933586.7493886808</v>
      </c>
      <c r="M54" s="80">
        <f t="shared" si="21"/>
        <v>2936974.0818886803</v>
      </c>
      <c r="O54" s="191"/>
    </row>
    <row r="55" spans="1:15" x14ac:dyDescent="0.25">
      <c r="A55" s="76" t="s">
        <v>1165</v>
      </c>
      <c r="B55" s="78"/>
      <c r="C55" s="81">
        <f>'Capital Works'!D22</f>
        <v>300000</v>
      </c>
      <c r="D55" s="81">
        <f>'Capital Works'!E22</f>
        <v>300000</v>
      </c>
      <c r="E55" s="81">
        <f>'Capital Works'!F22</f>
        <v>300000</v>
      </c>
      <c r="F55" s="81">
        <f>'Capital Works'!G22</f>
        <v>300000</v>
      </c>
      <c r="G55" s="81">
        <f>'Capital Works'!H22</f>
        <v>300000</v>
      </c>
      <c r="H55" s="81">
        <f>'Capital Works'!I22</f>
        <v>300000</v>
      </c>
      <c r="I55" s="81">
        <f>'Capital Works'!J22</f>
        <v>300000</v>
      </c>
      <c r="J55" s="81">
        <f>'Capital Works'!K22</f>
        <v>300000</v>
      </c>
      <c r="K55" s="81">
        <f>'Capital Works'!L22</f>
        <v>300000</v>
      </c>
      <c r="L55" s="81">
        <f>'Capital Works'!M22</f>
        <v>300000</v>
      </c>
      <c r="M55" s="81">
        <f>'Capital Works'!N22</f>
        <v>300000</v>
      </c>
      <c r="O55" s="191"/>
    </row>
    <row r="56" spans="1:15" x14ac:dyDescent="0.25">
      <c r="A56" s="76" t="s">
        <v>620</v>
      </c>
      <c r="B56" s="78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O56" s="191"/>
    </row>
    <row r="57" spans="1:15" x14ac:dyDescent="0.25">
      <c r="A57" s="76" t="s">
        <v>621</v>
      </c>
      <c r="B57" s="78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O57" s="191"/>
    </row>
    <row r="58" spans="1:15" x14ac:dyDescent="0.25">
      <c r="A58" s="76" t="s">
        <v>622</v>
      </c>
      <c r="B58" s="78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O58" s="191"/>
    </row>
    <row r="59" spans="1:15" x14ac:dyDescent="0.25">
      <c r="A59" s="76" t="s">
        <v>628</v>
      </c>
      <c r="B59" s="78"/>
      <c r="C59" s="81">
        <f>'Depreciable Cost'!B68</f>
        <v>2661266.75</v>
      </c>
      <c r="D59" s="81">
        <f>C59+D55-$C$59*$B$60</f>
        <v>2695140.0750000002</v>
      </c>
      <c r="E59" s="81">
        <f t="shared" ref="E59:M59" si="23">D59+E55-$C$59*$B$60</f>
        <v>2729013.4000000004</v>
      </c>
      <c r="F59" s="81">
        <f t="shared" si="23"/>
        <v>2762886.7250000006</v>
      </c>
      <c r="G59" s="81">
        <f t="shared" si="23"/>
        <v>2796760.0500000007</v>
      </c>
      <c r="H59" s="81">
        <f t="shared" si="23"/>
        <v>2830633.3750000009</v>
      </c>
      <c r="I59" s="81">
        <f t="shared" si="23"/>
        <v>2864506.7000000011</v>
      </c>
      <c r="J59" s="81">
        <f t="shared" si="23"/>
        <v>2898380.0250000013</v>
      </c>
      <c r="K59" s="81">
        <f t="shared" si="23"/>
        <v>2932253.3500000015</v>
      </c>
      <c r="L59" s="81">
        <f t="shared" si="23"/>
        <v>2966126.6750000017</v>
      </c>
      <c r="M59" s="81">
        <f t="shared" si="23"/>
        <v>3000000.0000000019</v>
      </c>
      <c r="O59" s="191"/>
    </row>
    <row r="60" spans="1:15" x14ac:dyDescent="0.25">
      <c r="A60" s="76" t="s">
        <v>623</v>
      </c>
      <c r="B60" s="79">
        <v>0.1</v>
      </c>
      <c r="C60" s="81">
        <f>-TB!D76</f>
        <v>-274700</v>
      </c>
      <c r="D60" s="81">
        <f>-D59*$B$60</f>
        <v>-269514.00750000001</v>
      </c>
      <c r="E60" s="81">
        <f t="shared" ref="E60:M60" si="24">-E59*$B$60</f>
        <v>-272901.34000000003</v>
      </c>
      <c r="F60" s="81">
        <f t="shared" si="24"/>
        <v>-276288.67250000004</v>
      </c>
      <c r="G60" s="81">
        <f t="shared" si="24"/>
        <v>-279676.00500000006</v>
      </c>
      <c r="H60" s="81">
        <f t="shared" si="24"/>
        <v>-283063.33750000008</v>
      </c>
      <c r="I60" s="81">
        <f t="shared" si="24"/>
        <v>-286450.6700000001</v>
      </c>
      <c r="J60" s="81">
        <f t="shared" si="24"/>
        <v>-289838.00250000012</v>
      </c>
      <c r="K60" s="81">
        <f t="shared" si="24"/>
        <v>-293225.33500000014</v>
      </c>
      <c r="L60" s="81">
        <f t="shared" si="24"/>
        <v>-296612.66750000016</v>
      </c>
      <c r="M60" s="81">
        <f t="shared" si="24"/>
        <v>-300000.00000000017</v>
      </c>
      <c r="O60" s="191"/>
    </row>
    <row r="61" spans="1:15" x14ac:dyDescent="0.25">
      <c r="A61" s="75" t="s">
        <v>624</v>
      </c>
      <c r="B61" s="77"/>
      <c r="C61" s="80">
        <f>C52+C55+C56</f>
        <v>8346056.1693886817</v>
      </c>
      <c r="D61" s="80">
        <f t="shared" ref="D61:M61" si="25">D52+D55+D56</f>
        <v>8646056.1693886817</v>
      </c>
      <c r="E61" s="80">
        <f t="shared" si="25"/>
        <v>8946056.1693886817</v>
      </c>
      <c r="F61" s="80">
        <f t="shared" si="25"/>
        <v>9246056.1693886817</v>
      </c>
      <c r="G61" s="80">
        <f t="shared" si="25"/>
        <v>9546056.1693886817</v>
      </c>
      <c r="H61" s="80">
        <f t="shared" si="25"/>
        <v>9846056.1693886817</v>
      </c>
      <c r="I61" s="80">
        <f t="shared" si="25"/>
        <v>10146056.169388682</v>
      </c>
      <c r="J61" s="80">
        <f t="shared" si="25"/>
        <v>10446056.169388682</v>
      </c>
      <c r="K61" s="80">
        <f t="shared" si="25"/>
        <v>10746056.169388682</v>
      </c>
      <c r="L61" s="80">
        <f t="shared" si="25"/>
        <v>11046056.169388682</v>
      </c>
      <c r="M61" s="80">
        <f t="shared" si="25"/>
        <v>11346056.169388682</v>
      </c>
      <c r="O61" s="191"/>
    </row>
    <row r="62" spans="1:15" x14ac:dyDescent="0.25">
      <c r="A62" s="75" t="s">
        <v>625</v>
      </c>
      <c r="B62" s="77"/>
      <c r="C62" s="80">
        <f>C53+C57+C60</f>
        <v>-5561512.0499999998</v>
      </c>
      <c r="D62" s="80">
        <f t="shared" ref="D62:M62" si="26">D53+D57+D60</f>
        <v>-5831026.0575000001</v>
      </c>
      <c r="E62" s="80">
        <f t="shared" si="26"/>
        <v>-6103927.3975</v>
      </c>
      <c r="F62" s="80">
        <f t="shared" si="26"/>
        <v>-6380216.0700000003</v>
      </c>
      <c r="G62" s="80">
        <f t="shared" si="26"/>
        <v>-6659892.0750000002</v>
      </c>
      <c r="H62" s="80">
        <f t="shared" si="26"/>
        <v>-6942955.4125000006</v>
      </c>
      <c r="I62" s="80">
        <f t="shared" si="26"/>
        <v>-7229406.0825000005</v>
      </c>
      <c r="J62" s="80">
        <f t="shared" si="26"/>
        <v>-7519244.0850000009</v>
      </c>
      <c r="K62" s="80">
        <f t="shared" si="26"/>
        <v>-7812469.4200000009</v>
      </c>
      <c r="L62" s="80">
        <f t="shared" si="26"/>
        <v>-8109082.0875000013</v>
      </c>
      <c r="M62" s="80">
        <f t="shared" si="26"/>
        <v>-8409082.0875000022</v>
      </c>
      <c r="O62" s="191"/>
    </row>
    <row r="63" spans="1:15" x14ac:dyDescent="0.25">
      <c r="A63" s="75" t="s">
        <v>626</v>
      </c>
      <c r="B63" s="77"/>
      <c r="C63" s="80">
        <f>C61+C62</f>
        <v>2784544.1193886818</v>
      </c>
      <c r="D63" s="80">
        <f t="shared" ref="D63:M63" si="27">D61+D62</f>
        <v>2815030.1118886815</v>
      </c>
      <c r="E63" s="80">
        <f t="shared" si="27"/>
        <v>2842128.7718886817</v>
      </c>
      <c r="F63" s="80">
        <f t="shared" si="27"/>
        <v>2865840.0993886814</v>
      </c>
      <c r="G63" s="80">
        <f t="shared" si="27"/>
        <v>2886164.0943886815</v>
      </c>
      <c r="H63" s="80">
        <f t="shared" si="27"/>
        <v>2903100.7568886811</v>
      </c>
      <c r="I63" s="80">
        <f t="shared" si="27"/>
        <v>2916650.0868886812</v>
      </c>
      <c r="J63" s="80">
        <f t="shared" si="27"/>
        <v>2926812.0843886808</v>
      </c>
      <c r="K63" s="80">
        <f t="shared" si="27"/>
        <v>2933586.7493886808</v>
      </c>
      <c r="L63" s="80">
        <f t="shared" si="27"/>
        <v>2936974.0818886803</v>
      </c>
      <c r="M63" s="80">
        <f t="shared" si="27"/>
        <v>2936974.0818886794</v>
      </c>
      <c r="O63" s="191"/>
    </row>
    <row r="64" spans="1:15" x14ac:dyDescent="0.25">
      <c r="O64" s="191"/>
    </row>
    <row r="65" spans="1:15" x14ac:dyDescent="0.25">
      <c r="A65" s="64" t="s">
        <v>653</v>
      </c>
      <c r="B65" s="6"/>
      <c r="O65" s="191"/>
    </row>
    <row r="66" spans="1:15" x14ac:dyDescent="0.25">
      <c r="A66" s="75" t="s">
        <v>617</v>
      </c>
      <c r="B66" s="77"/>
      <c r="C66" s="80">
        <v>177586998.66999999</v>
      </c>
      <c r="D66" s="80">
        <f>C72</f>
        <v>177586998.66999999</v>
      </c>
      <c r="E66" s="80">
        <f t="shared" ref="E66:M66" si="28">D72</f>
        <v>177586998.66999999</v>
      </c>
      <c r="F66" s="80">
        <f t="shared" si="28"/>
        <v>177586998.66999999</v>
      </c>
      <c r="G66" s="80">
        <f t="shared" si="28"/>
        <v>177586998.66999999</v>
      </c>
      <c r="H66" s="80">
        <f t="shared" si="28"/>
        <v>177586998.66999999</v>
      </c>
      <c r="I66" s="80">
        <f t="shared" si="28"/>
        <v>177586998.66999999</v>
      </c>
      <c r="J66" s="80">
        <f t="shared" si="28"/>
        <v>177586998.66999999</v>
      </c>
      <c r="K66" s="80">
        <f t="shared" si="28"/>
        <v>177586998.66999999</v>
      </c>
      <c r="L66" s="80">
        <f t="shared" si="28"/>
        <v>177586998.66999999</v>
      </c>
      <c r="M66" s="80">
        <f t="shared" si="28"/>
        <v>177586998.66999999</v>
      </c>
      <c r="O66" s="191"/>
    </row>
    <row r="67" spans="1:15" x14ac:dyDescent="0.25">
      <c r="A67" s="75" t="s">
        <v>618</v>
      </c>
      <c r="B67" s="77"/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O67" s="191"/>
    </row>
    <row r="68" spans="1:15" x14ac:dyDescent="0.25">
      <c r="A68" s="75" t="s">
        <v>619</v>
      </c>
      <c r="B68" s="77"/>
      <c r="C68" s="80">
        <v>177586998.66999999</v>
      </c>
      <c r="D68" s="80">
        <f t="shared" ref="D68" si="29">C74</f>
        <v>177586998.66999999</v>
      </c>
      <c r="E68" s="80">
        <f t="shared" ref="E68" si="30">D74</f>
        <v>177586998.66999999</v>
      </c>
      <c r="F68" s="80">
        <f t="shared" ref="F68" si="31">E74</f>
        <v>177586998.66999999</v>
      </c>
      <c r="G68" s="80">
        <f t="shared" ref="G68" si="32">F74</f>
        <v>177586998.66999999</v>
      </c>
      <c r="H68" s="80">
        <f t="shared" ref="H68" si="33">G74</f>
        <v>177586998.66999999</v>
      </c>
      <c r="I68" s="80">
        <f t="shared" ref="I68" si="34">H74</f>
        <v>177586998.66999999</v>
      </c>
      <c r="J68" s="80">
        <f t="shared" ref="J68" si="35">I74</f>
        <v>177586998.66999999</v>
      </c>
      <c r="K68" s="80">
        <f t="shared" ref="K68" si="36">J74</f>
        <v>177586998.66999999</v>
      </c>
      <c r="L68" s="80">
        <f t="shared" ref="L68" si="37">K74</f>
        <v>177586998.66999999</v>
      </c>
      <c r="M68" s="80">
        <f t="shared" ref="M68" si="38">L74</f>
        <v>177586998.66999999</v>
      </c>
      <c r="O68" s="191"/>
    </row>
    <row r="69" spans="1:15" x14ac:dyDescent="0.25">
      <c r="A69" s="76" t="s">
        <v>1165</v>
      </c>
      <c r="B69" s="78"/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O69" s="191"/>
    </row>
    <row r="70" spans="1:15" x14ac:dyDescent="0.25">
      <c r="A70" s="76" t="s">
        <v>620</v>
      </c>
      <c r="B70" s="78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O70" s="191"/>
    </row>
    <row r="71" spans="1:15" x14ac:dyDescent="0.25">
      <c r="A71" s="76" t="s">
        <v>623</v>
      </c>
      <c r="B71" s="79">
        <v>0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O71" s="191"/>
    </row>
    <row r="72" spans="1:15" x14ac:dyDescent="0.25">
      <c r="A72" s="75" t="s">
        <v>624</v>
      </c>
      <c r="B72" s="77"/>
      <c r="C72" s="80">
        <f t="shared" ref="C72:M72" si="39">C66+C69+C70</f>
        <v>177586998.66999999</v>
      </c>
      <c r="D72" s="80">
        <f t="shared" si="39"/>
        <v>177586998.66999999</v>
      </c>
      <c r="E72" s="80">
        <f t="shared" si="39"/>
        <v>177586998.66999999</v>
      </c>
      <c r="F72" s="80">
        <f t="shared" si="39"/>
        <v>177586998.66999999</v>
      </c>
      <c r="G72" s="80">
        <f t="shared" si="39"/>
        <v>177586998.66999999</v>
      </c>
      <c r="H72" s="80">
        <f t="shared" si="39"/>
        <v>177586998.66999999</v>
      </c>
      <c r="I72" s="80">
        <f t="shared" si="39"/>
        <v>177586998.66999999</v>
      </c>
      <c r="J72" s="80">
        <f t="shared" si="39"/>
        <v>177586998.66999999</v>
      </c>
      <c r="K72" s="80">
        <f t="shared" si="39"/>
        <v>177586998.66999999</v>
      </c>
      <c r="L72" s="80">
        <f t="shared" si="39"/>
        <v>177586998.66999999</v>
      </c>
      <c r="M72" s="80">
        <f t="shared" si="39"/>
        <v>177586998.66999999</v>
      </c>
      <c r="O72" s="191"/>
    </row>
    <row r="73" spans="1:15" x14ac:dyDescent="0.25">
      <c r="A73" s="75" t="s">
        <v>625</v>
      </c>
      <c r="B73" s="77"/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M73" s="80">
        <v>0</v>
      </c>
      <c r="O73" s="191"/>
    </row>
    <row r="74" spans="1:15" x14ac:dyDescent="0.25">
      <c r="A74" s="75" t="s">
        <v>626</v>
      </c>
      <c r="B74" s="77"/>
      <c r="C74" s="80">
        <f>C72+C73</f>
        <v>177586998.66999999</v>
      </c>
      <c r="D74" s="80">
        <f t="shared" ref="D74:M74" si="40">D72+D73</f>
        <v>177586998.66999999</v>
      </c>
      <c r="E74" s="80">
        <f t="shared" si="40"/>
        <v>177586998.66999999</v>
      </c>
      <c r="F74" s="80">
        <f t="shared" si="40"/>
        <v>177586998.66999999</v>
      </c>
      <c r="G74" s="80">
        <f t="shared" si="40"/>
        <v>177586998.66999999</v>
      </c>
      <c r="H74" s="80">
        <f t="shared" si="40"/>
        <v>177586998.66999999</v>
      </c>
      <c r="I74" s="80">
        <f t="shared" si="40"/>
        <v>177586998.66999999</v>
      </c>
      <c r="J74" s="80">
        <f t="shared" si="40"/>
        <v>177586998.66999999</v>
      </c>
      <c r="K74" s="80">
        <f t="shared" si="40"/>
        <v>177586998.66999999</v>
      </c>
      <c r="L74" s="80">
        <f t="shared" si="40"/>
        <v>177586998.66999999</v>
      </c>
      <c r="M74" s="80">
        <f t="shared" si="40"/>
        <v>177586998.66999999</v>
      </c>
      <c r="O74" s="191"/>
    </row>
    <row r="75" spans="1:15" x14ac:dyDescent="0.25">
      <c r="O75" s="191"/>
    </row>
    <row r="76" spans="1:15" x14ac:dyDescent="0.25">
      <c r="A76" s="64" t="s">
        <v>654</v>
      </c>
      <c r="B76" s="6"/>
      <c r="O76" s="191"/>
    </row>
    <row r="77" spans="1:15" x14ac:dyDescent="0.25">
      <c r="A77" s="75" t="s">
        <v>617</v>
      </c>
      <c r="B77" s="77"/>
      <c r="C77" s="80">
        <v>244582347</v>
      </c>
      <c r="D77" s="80">
        <f>C83</f>
        <v>244582347</v>
      </c>
      <c r="E77" s="80">
        <f t="shared" ref="E77:M77" si="41">D83</f>
        <v>244582347</v>
      </c>
      <c r="F77" s="80">
        <f t="shared" si="41"/>
        <v>244582347</v>
      </c>
      <c r="G77" s="80">
        <f t="shared" si="41"/>
        <v>244582347</v>
      </c>
      <c r="H77" s="80">
        <f t="shared" si="41"/>
        <v>244582347</v>
      </c>
      <c r="I77" s="80">
        <f t="shared" si="41"/>
        <v>244582347</v>
      </c>
      <c r="J77" s="80">
        <f t="shared" si="41"/>
        <v>244582347</v>
      </c>
      <c r="K77" s="80">
        <f t="shared" si="41"/>
        <v>244582347</v>
      </c>
      <c r="L77" s="80">
        <f t="shared" si="41"/>
        <v>244582347</v>
      </c>
      <c r="M77" s="80">
        <f t="shared" si="41"/>
        <v>244582347</v>
      </c>
      <c r="O77" s="191"/>
    </row>
    <row r="78" spans="1:15" x14ac:dyDescent="0.25">
      <c r="A78" s="75" t="s">
        <v>618</v>
      </c>
      <c r="B78" s="77"/>
      <c r="C78" s="80">
        <v>0</v>
      </c>
      <c r="D78" s="80">
        <v>0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O78" s="191"/>
    </row>
    <row r="79" spans="1:15" x14ac:dyDescent="0.25">
      <c r="A79" s="75" t="s">
        <v>619</v>
      </c>
      <c r="B79" s="77"/>
      <c r="C79" s="80">
        <v>244582347</v>
      </c>
      <c r="D79" s="80">
        <f t="shared" ref="D79:M79" si="42">C85</f>
        <v>244582347</v>
      </c>
      <c r="E79" s="80">
        <f t="shared" si="42"/>
        <v>244582347</v>
      </c>
      <c r="F79" s="80">
        <f t="shared" si="42"/>
        <v>244582347</v>
      </c>
      <c r="G79" s="80">
        <f t="shared" si="42"/>
        <v>244582347</v>
      </c>
      <c r="H79" s="80">
        <f t="shared" si="42"/>
        <v>244582347</v>
      </c>
      <c r="I79" s="80">
        <f t="shared" si="42"/>
        <v>244582347</v>
      </c>
      <c r="J79" s="80">
        <f t="shared" si="42"/>
        <v>244582347</v>
      </c>
      <c r="K79" s="80">
        <f t="shared" si="42"/>
        <v>244582347</v>
      </c>
      <c r="L79" s="80">
        <f t="shared" si="42"/>
        <v>244582347</v>
      </c>
      <c r="M79" s="80">
        <f t="shared" si="42"/>
        <v>244582347</v>
      </c>
      <c r="O79" s="191"/>
    </row>
    <row r="80" spans="1:15" x14ac:dyDescent="0.25">
      <c r="A80" s="76" t="s">
        <v>1165</v>
      </c>
      <c r="B80" s="78"/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O80" s="191"/>
    </row>
    <row r="81" spans="1:15" x14ac:dyDescent="0.25">
      <c r="A81" s="76" t="s">
        <v>620</v>
      </c>
      <c r="B81" s="78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O81" s="191"/>
    </row>
    <row r="82" spans="1:15" x14ac:dyDescent="0.25">
      <c r="A82" s="76" t="s">
        <v>623</v>
      </c>
      <c r="B82" s="79">
        <v>0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O82" s="191"/>
    </row>
    <row r="83" spans="1:15" x14ac:dyDescent="0.25">
      <c r="A83" s="75" t="s">
        <v>624</v>
      </c>
      <c r="B83" s="77"/>
      <c r="C83" s="80">
        <f t="shared" ref="C83:M83" si="43">C77+C80+C81</f>
        <v>244582347</v>
      </c>
      <c r="D83" s="80">
        <f t="shared" si="43"/>
        <v>244582347</v>
      </c>
      <c r="E83" s="80">
        <f t="shared" si="43"/>
        <v>244582347</v>
      </c>
      <c r="F83" s="80">
        <f t="shared" si="43"/>
        <v>244582347</v>
      </c>
      <c r="G83" s="80">
        <f t="shared" si="43"/>
        <v>244582347</v>
      </c>
      <c r="H83" s="80">
        <f t="shared" si="43"/>
        <v>244582347</v>
      </c>
      <c r="I83" s="80">
        <f t="shared" si="43"/>
        <v>244582347</v>
      </c>
      <c r="J83" s="80">
        <f t="shared" si="43"/>
        <v>244582347</v>
      </c>
      <c r="K83" s="80">
        <f t="shared" si="43"/>
        <v>244582347</v>
      </c>
      <c r="L83" s="80">
        <f t="shared" si="43"/>
        <v>244582347</v>
      </c>
      <c r="M83" s="80">
        <f t="shared" si="43"/>
        <v>244582347</v>
      </c>
      <c r="O83" s="191"/>
    </row>
    <row r="84" spans="1:15" x14ac:dyDescent="0.25">
      <c r="A84" s="75" t="s">
        <v>625</v>
      </c>
      <c r="B84" s="77"/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O84" s="191"/>
    </row>
    <row r="85" spans="1:15" x14ac:dyDescent="0.25">
      <c r="A85" s="75" t="s">
        <v>626</v>
      </c>
      <c r="B85" s="77"/>
      <c r="C85" s="80">
        <f>C83+C84</f>
        <v>244582347</v>
      </c>
      <c r="D85" s="80">
        <f t="shared" ref="D85:M85" si="44">D83+D84</f>
        <v>244582347</v>
      </c>
      <c r="E85" s="80">
        <f t="shared" si="44"/>
        <v>244582347</v>
      </c>
      <c r="F85" s="80">
        <f t="shared" si="44"/>
        <v>244582347</v>
      </c>
      <c r="G85" s="80">
        <f t="shared" si="44"/>
        <v>244582347</v>
      </c>
      <c r="H85" s="80">
        <f t="shared" si="44"/>
        <v>244582347</v>
      </c>
      <c r="I85" s="80">
        <f t="shared" si="44"/>
        <v>244582347</v>
      </c>
      <c r="J85" s="80">
        <f t="shared" si="44"/>
        <v>244582347</v>
      </c>
      <c r="K85" s="80">
        <f t="shared" si="44"/>
        <v>244582347</v>
      </c>
      <c r="L85" s="80">
        <f t="shared" si="44"/>
        <v>244582347</v>
      </c>
      <c r="M85" s="80">
        <f t="shared" si="44"/>
        <v>244582347</v>
      </c>
      <c r="O85" s="191"/>
    </row>
    <row r="86" spans="1:15" x14ac:dyDescent="0.25">
      <c r="O86" s="191"/>
    </row>
    <row r="87" spans="1:15" x14ac:dyDescent="0.25">
      <c r="A87" s="64" t="s">
        <v>655</v>
      </c>
      <c r="B87" s="6"/>
      <c r="O87" s="191"/>
    </row>
    <row r="88" spans="1:15" x14ac:dyDescent="0.25">
      <c r="A88" s="75" t="s">
        <v>617</v>
      </c>
      <c r="B88" s="77"/>
      <c r="C88" s="80">
        <v>4075427</v>
      </c>
      <c r="D88" s="80">
        <f>C94</f>
        <v>4075427</v>
      </c>
      <c r="E88" s="80">
        <f t="shared" ref="E88:M88" si="45">D94</f>
        <v>4075427</v>
      </c>
      <c r="F88" s="80">
        <f t="shared" si="45"/>
        <v>4075427</v>
      </c>
      <c r="G88" s="80">
        <f t="shared" si="45"/>
        <v>4075427</v>
      </c>
      <c r="H88" s="80">
        <f t="shared" si="45"/>
        <v>4075427</v>
      </c>
      <c r="I88" s="80">
        <f t="shared" si="45"/>
        <v>4075427</v>
      </c>
      <c r="J88" s="80">
        <f t="shared" si="45"/>
        <v>4075427</v>
      </c>
      <c r="K88" s="80">
        <f t="shared" si="45"/>
        <v>4075427</v>
      </c>
      <c r="L88" s="80">
        <f t="shared" si="45"/>
        <v>4075427</v>
      </c>
      <c r="M88" s="80">
        <f t="shared" si="45"/>
        <v>4075427</v>
      </c>
      <c r="O88" s="191"/>
    </row>
    <row r="89" spans="1:15" x14ac:dyDescent="0.25">
      <c r="A89" s="75" t="s">
        <v>618</v>
      </c>
      <c r="B89" s="77"/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O89" s="191"/>
    </row>
    <row r="90" spans="1:15" x14ac:dyDescent="0.25">
      <c r="A90" s="75" t="s">
        <v>619</v>
      </c>
      <c r="B90" s="77"/>
      <c r="C90" s="80">
        <v>4075427</v>
      </c>
      <c r="D90" s="80">
        <f t="shared" ref="D90:M90" si="46">C96</f>
        <v>4075427</v>
      </c>
      <c r="E90" s="80">
        <f t="shared" si="46"/>
        <v>4075427</v>
      </c>
      <c r="F90" s="80">
        <f t="shared" si="46"/>
        <v>4075427</v>
      </c>
      <c r="G90" s="80">
        <f t="shared" si="46"/>
        <v>4075427</v>
      </c>
      <c r="H90" s="80">
        <f t="shared" si="46"/>
        <v>4075427</v>
      </c>
      <c r="I90" s="80">
        <f t="shared" si="46"/>
        <v>4075427</v>
      </c>
      <c r="J90" s="80">
        <f t="shared" si="46"/>
        <v>4075427</v>
      </c>
      <c r="K90" s="80">
        <f t="shared" si="46"/>
        <v>4075427</v>
      </c>
      <c r="L90" s="80">
        <f t="shared" si="46"/>
        <v>4075427</v>
      </c>
      <c r="M90" s="80">
        <f t="shared" si="46"/>
        <v>4075427</v>
      </c>
      <c r="O90" s="191"/>
    </row>
    <row r="91" spans="1:15" x14ac:dyDescent="0.25">
      <c r="A91" s="76" t="s">
        <v>1165</v>
      </c>
      <c r="B91" s="78"/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O91" s="191"/>
    </row>
    <row r="92" spans="1:15" x14ac:dyDescent="0.25">
      <c r="A92" s="76" t="s">
        <v>620</v>
      </c>
      <c r="B92" s="78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O92" s="191"/>
    </row>
    <row r="93" spans="1:15" x14ac:dyDescent="0.25">
      <c r="A93" s="76" t="s">
        <v>623</v>
      </c>
      <c r="B93" s="79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O93" s="191"/>
    </row>
    <row r="94" spans="1:15" x14ac:dyDescent="0.25">
      <c r="A94" s="75" t="s">
        <v>624</v>
      </c>
      <c r="B94" s="77"/>
      <c r="C94" s="80">
        <f t="shared" ref="C94:M94" si="47">C88+C91+C92</f>
        <v>4075427</v>
      </c>
      <c r="D94" s="80">
        <f t="shared" si="47"/>
        <v>4075427</v>
      </c>
      <c r="E94" s="80">
        <f t="shared" si="47"/>
        <v>4075427</v>
      </c>
      <c r="F94" s="80">
        <f t="shared" si="47"/>
        <v>4075427</v>
      </c>
      <c r="G94" s="80">
        <f t="shared" si="47"/>
        <v>4075427</v>
      </c>
      <c r="H94" s="80">
        <f t="shared" si="47"/>
        <v>4075427</v>
      </c>
      <c r="I94" s="80">
        <f t="shared" si="47"/>
        <v>4075427</v>
      </c>
      <c r="J94" s="80">
        <f t="shared" si="47"/>
        <v>4075427</v>
      </c>
      <c r="K94" s="80">
        <f t="shared" si="47"/>
        <v>4075427</v>
      </c>
      <c r="L94" s="80">
        <f t="shared" si="47"/>
        <v>4075427</v>
      </c>
      <c r="M94" s="80">
        <f t="shared" si="47"/>
        <v>4075427</v>
      </c>
      <c r="O94" s="191"/>
    </row>
    <row r="95" spans="1:15" x14ac:dyDescent="0.25">
      <c r="A95" s="75" t="s">
        <v>625</v>
      </c>
      <c r="B95" s="77"/>
      <c r="C95" s="80">
        <v>0</v>
      </c>
      <c r="D95" s="80">
        <v>0</v>
      </c>
      <c r="E95" s="80">
        <v>0</v>
      </c>
      <c r="F95" s="80">
        <v>0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O95" s="191"/>
    </row>
    <row r="96" spans="1:15" x14ac:dyDescent="0.25">
      <c r="A96" s="75" t="s">
        <v>626</v>
      </c>
      <c r="B96" s="77"/>
      <c r="C96" s="80">
        <f>C94+C95</f>
        <v>4075427</v>
      </c>
      <c r="D96" s="80">
        <f t="shared" ref="D96:M96" si="48">D94+D95</f>
        <v>4075427</v>
      </c>
      <c r="E96" s="80">
        <f t="shared" si="48"/>
        <v>4075427</v>
      </c>
      <c r="F96" s="80">
        <f t="shared" si="48"/>
        <v>4075427</v>
      </c>
      <c r="G96" s="80">
        <f t="shared" si="48"/>
        <v>4075427</v>
      </c>
      <c r="H96" s="80">
        <f t="shared" si="48"/>
        <v>4075427</v>
      </c>
      <c r="I96" s="80">
        <f t="shared" si="48"/>
        <v>4075427</v>
      </c>
      <c r="J96" s="80">
        <f t="shared" si="48"/>
        <v>4075427</v>
      </c>
      <c r="K96" s="80">
        <f t="shared" si="48"/>
        <v>4075427</v>
      </c>
      <c r="L96" s="80">
        <f t="shared" si="48"/>
        <v>4075427</v>
      </c>
      <c r="M96" s="80">
        <f t="shared" si="48"/>
        <v>4075427</v>
      </c>
      <c r="O96" s="191"/>
    </row>
    <row r="97" spans="1:15" x14ac:dyDescent="0.25">
      <c r="O97" s="191"/>
    </row>
    <row r="98" spans="1:15" x14ac:dyDescent="0.25">
      <c r="A98" s="64" t="s">
        <v>643</v>
      </c>
      <c r="B98" s="6"/>
      <c r="O98" s="191"/>
    </row>
    <row r="99" spans="1:15" x14ac:dyDescent="0.25">
      <c r="A99" s="75" t="s">
        <v>617</v>
      </c>
      <c r="B99" s="77"/>
      <c r="C99" s="80">
        <v>19693482.529999994</v>
      </c>
      <c r="D99" s="80">
        <f>C108</f>
        <v>19773482.529999994</v>
      </c>
      <c r="E99" s="80">
        <f t="shared" ref="E99:M101" si="49">D108</f>
        <v>19860057.00229983</v>
      </c>
      <c r="F99" s="80">
        <f t="shared" si="49"/>
        <v>20001907.987572156</v>
      </c>
      <c r="G99" s="80">
        <f t="shared" si="49"/>
        <v>20249354.059996191</v>
      </c>
      <c r="H99" s="80">
        <f t="shared" si="49"/>
        <v>20524790.007532794</v>
      </c>
      <c r="I99" s="80">
        <f t="shared" si="49"/>
        <v>20753304.341925453</v>
      </c>
      <c r="J99" s="80">
        <f t="shared" si="49"/>
        <v>21034988.130338907</v>
      </c>
      <c r="K99" s="80">
        <f t="shared" si="49"/>
        <v>21369935.067779191</v>
      </c>
      <c r="L99" s="80">
        <f t="shared" si="49"/>
        <v>21658241.551536895</v>
      </c>
      <c r="M99" s="80">
        <f t="shared" si="49"/>
        <v>21900006.757709518</v>
      </c>
      <c r="O99" s="191"/>
    </row>
    <row r="100" spans="1:15" x14ac:dyDescent="0.25">
      <c r="A100" s="75" t="s">
        <v>618</v>
      </c>
      <c r="B100" s="77"/>
      <c r="C100" s="80">
        <v>-6505720.5300000003</v>
      </c>
      <c r="D100" s="80">
        <f t="shared" ref="D100:D101" si="50">C109</f>
        <v>-6768621.5300000003</v>
      </c>
      <c r="E100" s="80">
        <f t="shared" si="49"/>
        <v>-6990752.787707529</v>
      </c>
      <c r="F100" s="80">
        <f t="shared" si="49"/>
        <v>-7212999.5493124695</v>
      </c>
      <c r="G100" s="80">
        <f t="shared" si="49"/>
        <v>-7435969.382489129</v>
      </c>
      <c r="H100" s="80">
        <f t="shared" si="49"/>
        <v>-7661385.3403901774</v>
      </c>
      <c r="I100" s="80">
        <f t="shared" si="49"/>
        <v>-7889567.8119618557</v>
      </c>
      <c r="J100" s="80">
        <f t="shared" si="49"/>
        <v>-8119937.801092607</v>
      </c>
      <c r="K100" s="80">
        <f t="shared" si="49"/>
        <v>-8353116.9446046241</v>
      </c>
      <c r="L100" s="80">
        <f t="shared" si="49"/>
        <v>-8589727.5307603758</v>
      </c>
      <c r="M100" s="80">
        <f t="shared" si="49"/>
        <v>-8829192.5182986092</v>
      </c>
      <c r="O100" s="191"/>
    </row>
    <row r="101" spans="1:15" x14ac:dyDescent="0.25">
      <c r="A101" s="75" t="s">
        <v>619</v>
      </c>
      <c r="B101" s="77"/>
      <c r="C101" s="80">
        <f>C99+C100</f>
        <v>13187761.999999993</v>
      </c>
      <c r="D101" s="80">
        <f t="shared" si="50"/>
        <v>13004860.999999993</v>
      </c>
      <c r="E101" s="80">
        <f t="shared" si="49"/>
        <v>12869304.2145923</v>
      </c>
      <c r="F101" s="80">
        <f t="shared" si="49"/>
        <v>12788908.438259687</v>
      </c>
      <c r="G101" s="80">
        <f t="shared" si="49"/>
        <v>12813384.677507062</v>
      </c>
      <c r="H101" s="80">
        <f t="shared" si="49"/>
        <v>12863404.667142617</v>
      </c>
      <c r="I101" s="80">
        <f t="shared" si="49"/>
        <v>12863736.529963598</v>
      </c>
      <c r="J101" s="80">
        <f t="shared" si="49"/>
        <v>12915050.329246301</v>
      </c>
      <c r="K101" s="80">
        <f t="shared" si="49"/>
        <v>13016818.123174567</v>
      </c>
      <c r="L101" s="80">
        <f t="shared" si="49"/>
        <v>13068514.02077652</v>
      </c>
      <c r="M101" s="80">
        <f t="shared" si="49"/>
        <v>13070814.239410909</v>
      </c>
      <c r="O101" s="191"/>
    </row>
    <row r="102" spans="1:15" s="44" customFormat="1" x14ac:dyDescent="0.25">
      <c r="A102" s="76" t="s">
        <v>1165</v>
      </c>
      <c r="B102" s="78"/>
      <c r="C102" s="81">
        <f>'Capital Works'!D29</f>
        <v>0</v>
      </c>
      <c r="D102" s="81">
        <f>'Capital Works'!E29</f>
        <v>0</v>
      </c>
      <c r="E102" s="81">
        <f>'Capital Works'!F29</f>
        <v>50000</v>
      </c>
      <c r="F102" s="81">
        <f>'Capital Works'!G29</f>
        <v>150000</v>
      </c>
      <c r="G102" s="81">
        <f>'Capital Works'!H29</f>
        <v>175000</v>
      </c>
      <c r="H102" s="81">
        <f>'Capital Works'!I29</f>
        <v>125000</v>
      </c>
      <c r="I102" s="81">
        <f>'Capital Works'!J29</f>
        <v>175000</v>
      </c>
      <c r="J102" s="81">
        <f>'Capital Works'!K29</f>
        <v>225000</v>
      </c>
      <c r="K102" s="81">
        <f>'Capital Works'!L29</f>
        <v>175000</v>
      </c>
      <c r="L102" s="81">
        <f>'Capital Works'!M29</f>
        <v>125000</v>
      </c>
      <c r="M102" s="81">
        <f>'Capital Works'!N29</f>
        <v>175000</v>
      </c>
      <c r="O102" s="191"/>
    </row>
    <row r="103" spans="1:15" x14ac:dyDescent="0.25">
      <c r="A103" s="76" t="s">
        <v>1164</v>
      </c>
      <c r="B103" s="78"/>
      <c r="C103" s="81">
        <f>'Capital Works'!D30</f>
        <v>100000</v>
      </c>
      <c r="D103" s="81">
        <f>'Capital Works'!E30</f>
        <v>108218.09037479527</v>
      </c>
      <c r="E103" s="81">
        <f>'Capital Works'!F30</f>
        <v>114813.73159041067</v>
      </c>
      <c r="F103" s="81">
        <f>'Capital Works'!G30</f>
        <v>121807.59053004711</v>
      </c>
      <c r="G103" s="81">
        <f>'Capital Works'!H30</f>
        <v>125544.93442075381</v>
      </c>
      <c r="H103" s="81">
        <f>'Capital Works'!I30</f>
        <v>129392.91799082584</v>
      </c>
      <c r="I103" s="81">
        <f>'Capital Works'!J30</f>
        <v>133354.73551681612</v>
      </c>
      <c r="J103" s="81">
        <f>'Capital Works'!K30</f>
        <v>137433.67180035147</v>
      </c>
      <c r="K103" s="81">
        <f>'Capital Works'!L30</f>
        <v>141633.10469713091</v>
      </c>
      <c r="L103" s="81">
        <f>'Capital Works'!M30</f>
        <v>145956.50771577732</v>
      </c>
      <c r="M103" s="81">
        <f>'Capital Works'!N30</f>
        <v>150407.45268845442</v>
      </c>
      <c r="O103" s="191"/>
    </row>
    <row r="104" spans="1:15" x14ac:dyDescent="0.25">
      <c r="A104" s="76" t="s">
        <v>620</v>
      </c>
      <c r="B104" s="78"/>
      <c r="C104" s="81">
        <f>-C103*0.2</f>
        <v>-20000</v>
      </c>
      <c r="D104" s="81">
        <f>-D103*0.2</f>
        <v>-21643.618074959057</v>
      </c>
      <c r="E104" s="81">
        <f t="shared" ref="E104:M104" si="51">-E103*0.2</f>
        <v>-22962.746318082136</v>
      </c>
      <c r="F104" s="81">
        <f t="shared" si="51"/>
        <v>-24361.518106009422</v>
      </c>
      <c r="G104" s="81">
        <f t="shared" si="51"/>
        <v>-25108.986884150763</v>
      </c>
      <c r="H104" s="81">
        <f t="shared" si="51"/>
        <v>-25878.583598165169</v>
      </c>
      <c r="I104" s="81">
        <f t="shared" si="51"/>
        <v>-26670.947103363225</v>
      </c>
      <c r="J104" s="81">
        <f t="shared" si="51"/>
        <v>-27486.734360070295</v>
      </c>
      <c r="K104" s="81">
        <f t="shared" si="51"/>
        <v>-28326.620939426182</v>
      </c>
      <c r="L104" s="81">
        <f t="shared" si="51"/>
        <v>-29191.301543155467</v>
      </c>
      <c r="M104" s="81">
        <f t="shared" si="51"/>
        <v>-30081.490537690886</v>
      </c>
      <c r="O104" s="191"/>
    </row>
    <row r="105" spans="1:15" x14ac:dyDescent="0.25">
      <c r="A105" s="76" t="s">
        <v>621</v>
      </c>
      <c r="B105" s="78"/>
      <c r="C105" s="81">
        <f>-C104*0.7</f>
        <v>14000</v>
      </c>
      <c r="D105" s="81">
        <f>-D104*0.7</f>
        <v>15150.532652471338</v>
      </c>
      <c r="E105" s="81">
        <f t="shared" ref="E105:M105" si="52">-E104*0.7</f>
        <v>16073.922422657493</v>
      </c>
      <c r="F105" s="81">
        <f t="shared" si="52"/>
        <v>17053.062674206594</v>
      </c>
      <c r="G105" s="81">
        <f t="shared" si="52"/>
        <v>17576.290818905534</v>
      </c>
      <c r="H105" s="81">
        <f t="shared" si="52"/>
        <v>18115.008518715618</v>
      </c>
      <c r="I105" s="81">
        <f t="shared" si="52"/>
        <v>18669.662972354257</v>
      </c>
      <c r="J105" s="81">
        <f t="shared" si="52"/>
        <v>19240.714052049207</v>
      </c>
      <c r="K105" s="81">
        <f t="shared" si="52"/>
        <v>19828.634657598326</v>
      </c>
      <c r="L105" s="81">
        <f t="shared" si="52"/>
        <v>20433.911080208825</v>
      </c>
      <c r="M105" s="81">
        <f t="shared" si="52"/>
        <v>21057.043376383619</v>
      </c>
      <c r="O105" s="191"/>
    </row>
    <row r="106" spans="1:15" x14ac:dyDescent="0.25">
      <c r="A106" s="76" t="s">
        <v>622</v>
      </c>
      <c r="B106" s="78"/>
      <c r="C106" s="81">
        <f>C104+C105</f>
        <v>-6000</v>
      </c>
      <c r="D106" s="81">
        <f>D104+D105</f>
        <v>-6493.0854224877185</v>
      </c>
      <c r="E106" s="81">
        <f t="shared" ref="E106:M106" si="53">E104+E105</f>
        <v>-6888.8238954246426</v>
      </c>
      <c r="F106" s="81">
        <f t="shared" si="53"/>
        <v>-7308.4554318028277</v>
      </c>
      <c r="G106" s="81">
        <f t="shared" si="53"/>
        <v>-7532.696065245229</v>
      </c>
      <c r="H106" s="81">
        <f t="shared" si="53"/>
        <v>-7763.5750794495507</v>
      </c>
      <c r="I106" s="81">
        <f t="shared" si="53"/>
        <v>-8001.284131008968</v>
      </c>
      <c r="J106" s="81">
        <f t="shared" si="53"/>
        <v>-8246.0203080210886</v>
      </c>
      <c r="K106" s="81">
        <f t="shared" si="53"/>
        <v>-8497.9862818278561</v>
      </c>
      <c r="L106" s="81">
        <f t="shared" si="53"/>
        <v>-8757.3904629466415</v>
      </c>
      <c r="M106" s="81">
        <f t="shared" si="53"/>
        <v>-9024.4471613072674</v>
      </c>
      <c r="O106" s="191"/>
    </row>
    <row r="107" spans="1:15" x14ac:dyDescent="0.25">
      <c r="A107" s="76" t="s">
        <v>623</v>
      </c>
      <c r="B107" s="90">
        <v>1.2E-2</v>
      </c>
      <c r="C107" s="81">
        <f>-TB!D78</f>
        <v>-276901</v>
      </c>
      <c r="D107" s="81">
        <f>-D99*$B$107</f>
        <v>-237281.79035999993</v>
      </c>
      <c r="E107" s="81">
        <f t="shared" ref="E107:M107" si="54">-E99*$B$107</f>
        <v>-238320.68402759798</v>
      </c>
      <c r="F107" s="81">
        <f t="shared" si="54"/>
        <v>-240022.89585086587</v>
      </c>
      <c r="G107" s="81">
        <f t="shared" si="54"/>
        <v>-242992.24871995431</v>
      </c>
      <c r="H107" s="81">
        <f t="shared" si="54"/>
        <v>-246297.48009039354</v>
      </c>
      <c r="I107" s="81">
        <f t="shared" si="54"/>
        <v>-249039.65210310544</v>
      </c>
      <c r="J107" s="81">
        <f t="shared" si="54"/>
        <v>-252419.85756406689</v>
      </c>
      <c r="K107" s="81">
        <f t="shared" si="54"/>
        <v>-256439.22081335029</v>
      </c>
      <c r="L107" s="81">
        <f t="shared" si="54"/>
        <v>-259898.89861844276</v>
      </c>
      <c r="M107" s="81">
        <f t="shared" si="54"/>
        <v>-262800.08109251421</v>
      </c>
      <c r="O107" s="191"/>
    </row>
    <row r="108" spans="1:15" x14ac:dyDescent="0.25">
      <c r="A108" s="75" t="s">
        <v>624</v>
      </c>
      <c r="B108" s="77"/>
      <c r="C108" s="80">
        <f>C99+C102+C103+C104</f>
        <v>19773482.529999994</v>
      </c>
      <c r="D108" s="80">
        <f t="shared" ref="D108:M108" si="55">D99+D102+D103+D104</f>
        <v>19860057.00229983</v>
      </c>
      <c r="E108" s="80">
        <f t="shared" si="55"/>
        <v>20001907.987572156</v>
      </c>
      <c r="F108" s="80">
        <f t="shared" si="55"/>
        <v>20249354.059996191</v>
      </c>
      <c r="G108" s="80">
        <f t="shared" si="55"/>
        <v>20524790.007532794</v>
      </c>
      <c r="H108" s="80">
        <f t="shared" si="55"/>
        <v>20753304.341925453</v>
      </c>
      <c r="I108" s="80">
        <f t="shared" si="55"/>
        <v>21034988.130338907</v>
      </c>
      <c r="J108" s="80">
        <f t="shared" si="55"/>
        <v>21369935.067779191</v>
      </c>
      <c r="K108" s="80">
        <f t="shared" si="55"/>
        <v>21658241.551536895</v>
      </c>
      <c r="L108" s="80">
        <f t="shared" si="55"/>
        <v>21900006.757709518</v>
      </c>
      <c r="M108" s="80">
        <f t="shared" si="55"/>
        <v>22195332.719860282</v>
      </c>
      <c r="O108" s="191"/>
    </row>
    <row r="109" spans="1:15" x14ac:dyDescent="0.25">
      <c r="A109" s="75" t="s">
        <v>625</v>
      </c>
      <c r="B109" s="77"/>
      <c r="C109" s="80">
        <f t="shared" ref="C109:M109" si="56">C100+C105+C107</f>
        <v>-6768621.5300000003</v>
      </c>
      <c r="D109" s="80">
        <f t="shared" si="56"/>
        <v>-6990752.787707529</v>
      </c>
      <c r="E109" s="80">
        <f t="shared" si="56"/>
        <v>-7212999.5493124695</v>
      </c>
      <c r="F109" s="80">
        <f t="shared" si="56"/>
        <v>-7435969.382489129</v>
      </c>
      <c r="G109" s="80">
        <f t="shared" si="56"/>
        <v>-7661385.3403901774</v>
      </c>
      <c r="H109" s="80">
        <f t="shared" si="56"/>
        <v>-7889567.8119618557</v>
      </c>
      <c r="I109" s="80">
        <f t="shared" si="56"/>
        <v>-8119937.801092607</v>
      </c>
      <c r="J109" s="80">
        <f t="shared" si="56"/>
        <v>-8353116.9446046241</v>
      </c>
      <c r="K109" s="80">
        <f t="shared" si="56"/>
        <v>-8589727.5307603758</v>
      </c>
      <c r="L109" s="80">
        <f t="shared" si="56"/>
        <v>-8829192.5182986092</v>
      </c>
      <c r="M109" s="80">
        <f t="shared" si="56"/>
        <v>-9070935.556014739</v>
      </c>
      <c r="O109" s="191"/>
    </row>
    <row r="110" spans="1:15" x14ac:dyDescent="0.25">
      <c r="A110" s="75" t="s">
        <v>626</v>
      </c>
      <c r="B110" s="77"/>
      <c r="C110" s="80">
        <f>C108+C109</f>
        <v>13004860.999999993</v>
      </c>
      <c r="D110" s="80">
        <f t="shared" ref="D110:M110" si="57">D108+D109</f>
        <v>12869304.2145923</v>
      </c>
      <c r="E110" s="80">
        <f t="shared" si="57"/>
        <v>12788908.438259687</v>
      </c>
      <c r="F110" s="80">
        <f t="shared" si="57"/>
        <v>12813384.677507062</v>
      </c>
      <c r="G110" s="80">
        <f t="shared" si="57"/>
        <v>12863404.667142617</v>
      </c>
      <c r="H110" s="80">
        <f t="shared" si="57"/>
        <v>12863736.529963598</v>
      </c>
      <c r="I110" s="80">
        <f t="shared" si="57"/>
        <v>12915050.329246301</v>
      </c>
      <c r="J110" s="80">
        <f t="shared" si="57"/>
        <v>13016818.123174567</v>
      </c>
      <c r="K110" s="80">
        <f t="shared" si="57"/>
        <v>13068514.02077652</v>
      </c>
      <c r="L110" s="80">
        <f t="shared" si="57"/>
        <v>13070814.239410909</v>
      </c>
      <c r="M110" s="80">
        <f t="shared" si="57"/>
        <v>13124397.163845543</v>
      </c>
      <c r="O110" s="191"/>
    </row>
    <row r="111" spans="1:15" x14ac:dyDescent="0.25">
      <c r="O111" s="191"/>
    </row>
    <row r="112" spans="1:15" x14ac:dyDescent="0.25">
      <c r="A112" s="64" t="s">
        <v>604</v>
      </c>
      <c r="B112" s="6"/>
      <c r="O112" s="191"/>
    </row>
    <row r="113" spans="1:15" x14ac:dyDescent="0.25">
      <c r="A113" s="75" t="s">
        <v>617</v>
      </c>
      <c r="B113" s="77"/>
      <c r="C113" s="80">
        <f>103921784+146639393</f>
        <v>250561177</v>
      </c>
      <c r="D113" s="80">
        <f>C124</f>
        <v>261195424.88190874</v>
      </c>
      <c r="E113" s="80">
        <f t="shared" ref="E113:M115" si="58">D124</f>
        <v>297550106.84679914</v>
      </c>
      <c r="F113" s="80">
        <f t="shared" si="58"/>
        <v>310312313.86338669</v>
      </c>
      <c r="G113" s="80">
        <f t="shared" si="58"/>
        <v>324088647.51797819</v>
      </c>
      <c r="H113" s="80">
        <f t="shared" si="58"/>
        <v>338217598.89205092</v>
      </c>
      <c r="I113" s="80">
        <f t="shared" si="58"/>
        <v>352852386.83364671</v>
      </c>
      <c r="J113" s="80">
        <f t="shared" si="58"/>
        <v>368080188.4275102</v>
      </c>
      <c r="K113" s="80">
        <f t="shared" si="58"/>
        <v>383489069.19636565</v>
      </c>
      <c r="L113" s="80">
        <f t="shared" si="58"/>
        <v>398959725.19583309</v>
      </c>
      <c r="M113" s="80">
        <f t="shared" si="58"/>
        <v>414988635.7266342</v>
      </c>
      <c r="O113" s="191"/>
    </row>
    <row r="114" spans="1:15" x14ac:dyDescent="0.25">
      <c r="A114" s="75" t="s">
        <v>618</v>
      </c>
      <c r="B114" s="77"/>
      <c r="C114" s="80">
        <f>-(45374614+57686736)</f>
        <v>-103061350</v>
      </c>
      <c r="D114" s="80">
        <f>C125</f>
        <v>-107354681.69742738</v>
      </c>
      <c r="E114" s="80">
        <f t="shared" si="58"/>
        <v>-109079495.50177278</v>
      </c>
      <c r="F114" s="80">
        <f t="shared" si="58"/>
        <v>-115317738.49060613</v>
      </c>
      <c r="G114" s="80">
        <f t="shared" si="58"/>
        <v>-121726077.11790749</v>
      </c>
      <c r="H114" s="80">
        <f t="shared" si="58"/>
        <v>-128514102.5065365</v>
      </c>
      <c r="I114" s="80">
        <f t="shared" si="58"/>
        <v>-135653738.93590957</v>
      </c>
      <c r="J114" s="80">
        <f t="shared" si="58"/>
        <v>-143139453.53008479</v>
      </c>
      <c r="K114" s="80">
        <f t="shared" si="58"/>
        <v>-150967268.47440946</v>
      </c>
      <c r="L114" s="80">
        <f t="shared" si="58"/>
        <v>-159336147.52519557</v>
      </c>
      <c r="M114" s="80">
        <f t="shared" si="58"/>
        <v>-168112649.85821941</v>
      </c>
      <c r="O114" s="191"/>
    </row>
    <row r="115" spans="1:15" x14ac:dyDescent="0.25">
      <c r="A115" s="75" t="s">
        <v>619</v>
      </c>
      <c r="B115" s="77"/>
      <c r="C115" s="80">
        <f>C113+C114</f>
        <v>147499827</v>
      </c>
      <c r="D115" s="80">
        <f t="shared" ref="D115" si="59">C126</f>
        <v>153840743.18448138</v>
      </c>
      <c r="E115" s="80">
        <f t="shared" si="58"/>
        <v>188470611.34502637</v>
      </c>
      <c r="F115" s="80">
        <f t="shared" si="58"/>
        <v>194994575.37278056</v>
      </c>
      <c r="G115" s="80">
        <f t="shared" si="58"/>
        <v>202362570.4000707</v>
      </c>
      <c r="H115" s="80">
        <f t="shared" si="58"/>
        <v>209703496.38551444</v>
      </c>
      <c r="I115" s="80">
        <f t="shared" si="58"/>
        <v>217198647.89773715</v>
      </c>
      <c r="J115" s="80">
        <f t="shared" si="58"/>
        <v>224940734.89742541</v>
      </c>
      <c r="K115" s="80">
        <f t="shared" si="58"/>
        <v>232521800.72195619</v>
      </c>
      <c r="L115" s="80">
        <f t="shared" si="58"/>
        <v>239623577.67063752</v>
      </c>
      <c r="M115" s="80">
        <f t="shared" si="58"/>
        <v>246875985.86841479</v>
      </c>
      <c r="O115" s="191"/>
    </row>
    <row r="116" spans="1:15" s="44" customFormat="1" x14ac:dyDescent="0.25">
      <c r="A116" s="76" t="s">
        <v>1165</v>
      </c>
      <c r="B116" s="78"/>
      <c r="C116" s="81">
        <f>'Capital Works'!D47</f>
        <v>1610000.0000000002</v>
      </c>
      <c r="D116" s="81">
        <f>'Capital Works'!E47</f>
        <v>13742311.255034205</v>
      </c>
      <c r="E116" s="81">
        <f>'Capital Works'!F47</f>
        <v>2348501.0786056118</v>
      </c>
      <c r="F116" s="81">
        <f>'Capital Works'!G47</f>
        <v>2461102.2075337581</v>
      </c>
      <c r="G116" s="81">
        <f>'Capital Works'!H47</f>
        <v>2521273.444174136</v>
      </c>
      <c r="H116" s="81">
        <f>'Capital Works'!I47</f>
        <v>2583225.9796522958</v>
      </c>
      <c r="I116" s="81">
        <f>'Capital Works'!J47</f>
        <v>2647011.2418207391</v>
      </c>
      <c r="J116" s="81">
        <f>'Capital Works'!K47</f>
        <v>2212682.1159856585</v>
      </c>
      <c r="K116" s="81">
        <f>'Capital Works'!L47</f>
        <v>2280292.9856238076</v>
      </c>
      <c r="L116" s="81">
        <f>'Capital Works'!M47</f>
        <v>2349899.774224015</v>
      </c>
      <c r="M116" s="81">
        <f>'Capital Works'!N47</f>
        <v>2421559.9882841161</v>
      </c>
      <c r="O116" s="191"/>
    </row>
    <row r="117" spans="1:15" x14ac:dyDescent="0.25">
      <c r="A117" s="76" t="s">
        <v>1164</v>
      </c>
      <c r="B117" s="78"/>
      <c r="C117" s="81">
        <f>'Capital Works'!D48</f>
        <v>5732891.9170124996</v>
      </c>
      <c r="D117" s="81">
        <f>'Capital Works'!E48</f>
        <v>22974978.696869276</v>
      </c>
      <c r="E117" s="81">
        <f>'Capital Works'!F48</f>
        <v>4249933.2383028064</v>
      </c>
      <c r="F117" s="81">
        <f>'Capital Works'!G48</f>
        <v>5082033.7149614543</v>
      </c>
      <c r="G117" s="81">
        <f>'Capital Works'!H48</f>
        <v>5007802.488498793</v>
      </c>
      <c r="H117" s="81">
        <f>'Capital Works'!I48</f>
        <v>5137317.1280603791</v>
      </c>
      <c r="I117" s="81">
        <f>'Capital Works'!J48</f>
        <v>5370686.6874308838</v>
      </c>
      <c r="J117" s="81">
        <f>'Capital Works'!K48</f>
        <v>5705991.3459743783</v>
      </c>
      <c r="K117" s="81">
        <f>'Capital Works'!L48</f>
        <v>5147337.5484778145</v>
      </c>
      <c r="L117" s="81">
        <f>'Capital Works'!M48</f>
        <v>5292882.3238304313</v>
      </c>
      <c r="M117" s="81">
        <f>'Capital Works'!N48</f>
        <v>5542747.6760398112</v>
      </c>
      <c r="O117" s="191"/>
    </row>
    <row r="118" spans="1:15" x14ac:dyDescent="0.25">
      <c r="A118" s="76" t="s">
        <v>620</v>
      </c>
      <c r="B118" s="78"/>
      <c r="C118" s="81">
        <f>-C117*0.3</f>
        <v>-1719867.5751037498</v>
      </c>
      <c r="D118" s="81">
        <f>-D117*0.3</f>
        <v>-6892493.6090607829</v>
      </c>
      <c r="E118" s="81">
        <f>-E117*0.3</f>
        <v>-1274979.9714908418</v>
      </c>
      <c r="F118" s="81">
        <f t="shared" ref="F118:M118" si="60">-F117*0.3</f>
        <v>-1524610.1144884361</v>
      </c>
      <c r="G118" s="81">
        <f t="shared" si="60"/>
        <v>-1502340.7465496378</v>
      </c>
      <c r="H118" s="81">
        <f t="shared" si="60"/>
        <v>-1541195.1384181136</v>
      </c>
      <c r="I118" s="81">
        <f t="shared" si="60"/>
        <v>-1611206.0062292651</v>
      </c>
      <c r="J118" s="81">
        <f t="shared" si="60"/>
        <v>-1711797.4037923135</v>
      </c>
      <c r="K118" s="81">
        <f t="shared" si="60"/>
        <v>-1544201.2645433443</v>
      </c>
      <c r="L118" s="81">
        <f t="shared" si="60"/>
        <v>-1587864.6971491294</v>
      </c>
      <c r="M118" s="81">
        <f t="shared" si="60"/>
        <v>-1662824.3028119432</v>
      </c>
      <c r="O118" s="191"/>
    </row>
    <row r="119" spans="1:15" x14ac:dyDescent="0.25">
      <c r="A119" s="76" t="s">
        <v>621</v>
      </c>
      <c r="B119" s="78"/>
      <c r="C119" s="81">
        <f>-C118*0.7</f>
        <v>1203907.3025726248</v>
      </c>
      <c r="D119" s="81">
        <f>-D118*0.7</f>
        <v>4824745.5263425475</v>
      </c>
      <c r="E119" s="81">
        <f t="shared" ref="E119:M119" si="61">-E118*0.7</f>
        <v>892485.98004358925</v>
      </c>
      <c r="F119" s="81">
        <f t="shared" si="61"/>
        <v>1067227.0801419052</v>
      </c>
      <c r="G119" s="81">
        <f t="shared" si="61"/>
        <v>1051638.5225847464</v>
      </c>
      <c r="H119" s="81">
        <f t="shared" si="61"/>
        <v>1078836.5968926793</v>
      </c>
      <c r="I119" s="81">
        <f t="shared" si="61"/>
        <v>1127844.2043604855</v>
      </c>
      <c r="J119" s="81">
        <f t="shared" si="61"/>
        <v>1198258.1826546194</v>
      </c>
      <c r="K119" s="81">
        <f t="shared" si="61"/>
        <v>1080940.8851803408</v>
      </c>
      <c r="L119" s="81">
        <f t="shared" si="61"/>
        <v>1111505.2880043904</v>
      </c>
      <c r="M119" s="81">
        <f t="shared" si="61"/>
        <v>1163977.0119683603</v>
      </c>
      <c r="O119" s="191"/>
    </row>
    <row r="120" spans="1:15" x14ac:dyDescent="0.25">
      <c r="A120" s="76" t="s">
        <v>622</v>
      </c>
      <c r="B120" s="78"/>
      <c r="C120" s="81">
        <f>C118+C119</f>
        <v>-515960.272531125</v>
      </c>
      <c r="D120" s="81">
        <f>D118+D119</f>
        <v>-2067748.0827182354</v>
      </c>
      <c r="E120" s="81">
        <f t="shared" ref="E120:M120" si="62">E118+E119</f>
        <v>-382493.99144725257</v>
      </c>
      <c r="F120" s="81">
        <f t="shared" si="62"/>
        <v>-457383.03434653091</v>
      </c>
      <c r="G120" s="81">
        <f t="shared" si="62"/>
        <v>-450702.2239648914</v>
      </c>
      <c r="H120" s="81">
        <f t="shared" si="62"/>
        <v>-462358.54152543424</v>
      </c>
      <c r="I120" s="81">
        <f t="shared" si="62"/>
        <v>-483361.80186877958</v>
      </c>
      <c r="J120" s="81">
        <f t="shared" si="62"/>
        <v>-513539.22113769408</v>
      </c>
      <c r="K120" s="81">
        <f t="shared" si="62"/>
        <v>-463260.37936300342</v>
      </c>
      <c r="L120" s="81">
        <f t="shared" si="62"/>
        <v>-476359.40914473892</v>
      </c>
      <c r="M120" s="81">
        <f t="shared" si="62"/>
        <v>-498847.29084358294</v>
      </c>
      <c r="O120" s="191"/>
    </row>
    <row r="121" spans="1:15" x14ac:dyDescent="0.25">
      <c r="A121" s="76" t="s">
        <v>623</v>
      </c>
      <c r="B121" s="90">
        <v>1.4800000000000001E-2</v>
      </c>
      <c r="C121" s="81">
        <f>-(TB!D80+TB!D81)</f>
        <v>-3436012</v>
      </c>
      <c r="D121" s="81">
        <f>-D113*$B$121</f>
        <v>-3865692.2882522494</v>
      </c>
      <c r="E121" s="81">
        <f t="shared" ref="E121:M121" si="63">-E113*$B$121</f>
        <v>-4403741.5813326277</v>
      </c>
      <c r="F121" s="81">
        <f t="shared" si="63"/>
        <v>-4592622.245178123</v>
      </c>
      <c r="G121" s="81">
        <f t="shared" si="63"/>
        <v>-4796511.983266077</v>
      </c>
      <c r="H121" s="81">
        <f t="shared" si="63"/>
        <v>-5005620.4636023538</v>
      </c>
      <c r="I121" s="81">
        <f t="shared" si="63"/>
        <v>-5222215.3251379719</v>
      </c>
      <c r="J121" s="81">
        <f t="shared" si="63"/>
        <v>-5447586.7887271512</v>
      </c>
      <c r="K121" s="81">
        <f t="shared" si="63"/>
        <v>-5675638.2241062121</v>
      </c>
      <c r="L121" s="81">
        <f t="shared" si="63"/>
        <v>-5904603.9328983296</v>
      </c>
      <c r="M121" s="81">
        <f t="shared" si="63"/>
        <v>-6141831.8087541861</v>
      </c>
      <c r="O121" s="191"/>
    </row>
    <row r="122" spans="1:15" x14ac:dyDescent="0.25">
      <c r="A122" s="76" t="s">
        <v>1186</v>
      </c>
      <c r="B122" s="90"/>
      <c r="C122" s="81">
        <f>C113*Assumptions!B60</f>
        <v>5011223.54</v>
      </c>
      <c r="D122" s="81">
        <f>D113*Assumptions!C60</f>
        <v>6529885.6220477186</v>
      </c>
      <c r="E122" s="81">
        <f>E113*Assumptions!D60</f>
        <v>7438752.6711699786</v>
      </c>
      <c r="F122" s="81">
        <f>F113*Assumptions!E60</f>
        <v>7757807.8465846675</v>
      </c>
      <c r="G122" s="81">
        <f>G113*Assumptions!F60</f>
        <v>8102216.1879494553</v>
      </c>
      <c r="H122" s="81">
        <f>H113*Assumptions!G60</f>
        <v>8455439.9723012727</v>
      </c>
      <c r="I122" s="81">
        <f>I113*Assumptions!H60</f>
        <v>8821309.6708411686</v>
      </c>
      <c r="J122" s="81">
        <f>J113*Assumptions!I60</f>
        <v>9202004.7106877547</v>
      </c>
      <c r="K122" s="81">
        <f>K113*Assumptions!J60</f>
        <v>9587226.7299091425</v>
      </c>
      <c r="L122" s="81">
        <f>L113*Assumptions!K60</f>
        <v>9973993.1298958268</v>
      </c>
      <c r="M122" s="81">
        <f>M113*Assumptions!L60</f>
        <v>10374715.893165857</v>
      </c>
      <c r="O122" s="191"/>
    </row>
    <row r="123" spans="1:15" s="44" customFormat="1" x14ac:dyDescent="0.25">
      <c r="A123" s="76" t="s">
        <v>1185</v>
      </c>
      <c r="B123" s="90"/>
      <c r="C123" s="81">
        <f>(C114/C113)*C122</f>
        <v>-2061227</v>
      </c>
      <c r="D123" s="81">
        <f t="shared" ref="D123:M123" si="64">(D114/D113)*D122</f>
        <v>-2683867.0424356842</v>
      </c>
      <c r="E123" s="81">
        <f t="shared" si="64"/>
        <v>-2726987.3875443195</v>
      </c>
      <c r="F123" s="81">
        <f t="shared" si="64"/>
        <v>-2882943.4622651529</v>
      </c>
      <c r="G123" s="81">
        <f t="shared" si="64"/>
        <v>-3043151.9279476875</v>
      </c>
      <c r="H123" s="81">
        <f t="shared" si="64"/>
        <v>-3212852.5626634122</v>
      </c>
      <c r="I123" s="81">
        <f t="shared" si="64"/>
        <v>-3391343.4733977397</v>
      </c>
      <c r="J123" s="81">
        <f t="shared" si="64"/>
        <v>-3578486.3382521197</v>
      </c>
      <c r="K123" s="81">
        <f t="shared" si="64"/>
        <v>-3774181.7118602367</v>
      </c>
      <c r="L123" s="81">
        <f t="shared" si="64"/>
        <v>-3983403.6881298888</v>
      </c>
      <c r="M123" s="81">
        <f t="shared" si="64"/>
        <v>-4202816.2464554859</v>
      </c>
      <c r="O123" s="191"/>
    </row>
    <row r="124" spans="1:15" x14ac:dyDescent="0.25">
      <c r="A124" s="75" t="s">
        <v>624</v>
      </c>
      <c r="B124" s="77"/>
      <c r="C124" s="80">
        <f>C113+C116+C117+C118+C122</f>
        <v>261195424.88190874</v>
      </c>
      <c r="D124" s="80">
        <f t="shared" ref="D124:M124" si="65">D113+D116+D117+D118+D122</f>
        <v>297550106.84679914</v>
      </c>
      <c r="E124" s="80">
        <f t="shared" si="65"/>
        <v>310312313.86338669</v>
      </c>
      <c r="F124" s="80">
        <f t="shared" si="65"/>
        <v>324088647.51797819</v>
      </c>
      <c r="G124" s="80">
        <f t="shared" si="65"/>
        <v>338217598.89205092</v>
      </c>
      <c r="H124" s="80">
        <f t="shared" si="65"/>
        <v>352852386.83364671</v>
      </c>
      <c r="I124" s="80">
        <f t="shared" si="65"/>
        <v>368080188.4275102</v>
      </c>
      <c r="J124" s="80">
        <f t="shared" si="65"/>
        <v>383489069.19636565</v>
      </c>
      <c r="K124" s="80">
        <f t="shared" si="65"/>
        <v>398959725.19583309</v>
      </c>
      <c r="L124" s="80">
        <f t="shared" si="65"/>
        <v>414988635.7266342</v>
      </c>
      <c r="M124" s="80">
        <f t="shared" si="65"/>
        <v>431664834.98131204</v>
      </c>
      <c r="O124" s="191"/>
    </row>
    <row r="125" spans="1:15" x14ac:dyDescent="0.25">
      <c r="A125" s="75" t="s">
        <v>625</v>
      </c>
      <c r="B125" s="77"/>
      <c r="C125" s="80">
        <f>C114+C119+C121+C123</f>
        <v>-107354681.69742738</v>
      </c>
      <c r="D125" s="80">
        <f t="shared" ref="D125:M125" si="66">D114+D119+D121+D123</f>
        <v>-109079495.50177278</v>
      </c>
      <c r="E125" s="80">
        <f t="shared" si="66"/>
        <v>-115317738.49060613</v>
      </c>
      <c r="F125" s="80">
        <f t="shared" si="66"/>
        <v>-121726077.11790749</v>
      </c>
      <c r="G125" s="80">
        <f t="shared" si="66"/>
        <v>-128514102.5065365</v>
      </c>
      <c r="H125" s="80">
        <f t="shared" si="66"/>
        <v>-135653738.93590957</v>
      </c>
      <c r="I125" s="80">
        <f t="shared" si="66"/>
        <v>-143139453.53008479</v>
      </c>
      <c r="J125" s="80">
        <f t="shared" si="66"/>
        <v>-150967268.47440946</v>
      </c>
      <c r="K125" s="80">
        <f t="shared" si="66"/>
        <v>-159336147.52519557</v>
      </c>
      <c r="L125" s="80">
        <f t="shared" si="66"/>
        <v>-168112649.85821941</v>
      </c>
      <c r="M125" s="80">
        <f t="shared" si="66"/>
        <v>-177293320.90146071</v>
      </c>
      <c r="O125" s="191"/>
    </row>
    <row r="126" spans="1:15" x14ac:dyDescent="0.25">
      <c r="A126" s="75" t="s">
        <v>626</v>
      </c>
      <c r="B126" s="77"/>
      <c r="C126" s="80">
        <f>C124+C125</f>
        <v>153840743.18448138</v>
      </c>
      <c r="D126" s="80">
        <f>D124+D125</f>
        <v>188470611.34502637</v>
      </c>
      <c r="E126" s="80">
        <f t="shared" ref="E126:M126" si="67">E124+E125</f>
        <v>194994575.37278056</v>
      </c>
      <c r="F126" s="80">
        <f t="shared" si="67"/>
        <v>202362570.4000707</v>
      </c>
      <c r="G126" s="80">
        <f t="shared" si="67"/>
        <v>209703496.38551444</v>
      </c>
      <c r="H126" s="80">
        <f t="shared" si="67"/>
        <v>217198647.89773715</v>
      </c>
      <c r="I126" s="80">
        <f t="shared" si="67"/>
        <v>224940734.89742541</v>
      </c>
      <c r="J126" s="80">
        <f t="shared" si="67"/>
        <v>232521800.72195619</v>
      </c>
      <c r="K126" s="80">
        <f t="shared" si="67"/>
        <v>239623577.67063752</v>
      </c>
      <c r="L126" s="80">
        <f t="shared" si="67"/>
        <v>246875985.86841479</v>
      </c>
      <c r="M126" s="80">
        <f t="shared" si="67"/>
        <v>254371514.07985133</v>
      </c>
      <c r="O126" s="191"/>
    </row>
    <row r="127" spans="1:15" x14ac:dyDescent="0.25">
      <c r="O127" s="191"/>
    </row>
    <row r="128" spans="1:15" x14ac:dyDescent="0.25">
      <c r="A128" s="64" t="s">
        <v>667</v>
      </c>
      <c r="B128" s="6"/>
      <c r="O128" s="191"/>
    </row>
    <row r="129" spans="1:15" x14ac:dyDescent="0.25">
      <c r="A129" s="75" t="s">
        <v>617</v>
      </c>
      <c r="B129" s="77"/>
      <c r="C129" s="80">
        <v>868245218.48737121</v>
      </c>
      <c r="D129" s="80">
        <f>C140</f>
        <v>895459318.85711861</v>
      </c>
      <c r="E129" s="80">
        <f t="shared" ref="E129:M131" si="68">D140</f>
        <v>927874829.06127608</v>
      </c>
      <c r="F129" s="80">
        <f t="shared" si="68"/>
        <v>961589007.94568253</v>
      </c>
      <c r="G129" s="80">
        <f t="shared" si="68"/>
        <v>994415938.2449156</v>
      </c>
      <c r="H129" s="80">
        <f t="shared" si="68"/>
        <v>1028284003.5907828</v>
      </c>
      <c r="I129" s="80">
        <f t="shared" si="68"/>
        <v>1063225509.0976177</v>
      </c>
      <c r="J129" s="80">
        <f t="shared" si="68"/>
        <v>1098873743.4728515</v>
      </c>
      <c r="K129" s="80">
        <f t="shared" si="68"/>
        <v>1135640773.6354511</v>
      </c>
      <c r="L129" s="80">
        <f t="shared" si="68"/>
        <v>1173548805.0085263</v>
      </c>
      <c r="M129" s="80">
        <f t="shared" si="68"/>
        <v>1212632640.336077</v>
      </c>
      <c r="O129" s="191"/>
    </row>
    <row r="130" spans="1:15" x14ac:dyDescent="0.25">
      <c r="A130" s="75" t="s">
        <v>618</v>
      </c>
      <c r="B130" s="77"/>
      <c r="C130" s="80">
        <v>-354106512.88999999</v>
      </c>
      <c r="D130" s="80">
        <f t="shared" ref="D130:D131" si="69">C141</f>
        <v>-369182035.84779996</v>
      </c>
      <c r="E130" s="80">
        <f t="shared" si="68"/>
        <v>-385305430.7961933</v>
      </c>
      <c r="F130" s="80">
        <f t="shared" si="68"/>
        <v>-402200346.01288903</v>
      </c>
      <c r="G130" s="80">
        <f t="shared" si="68"/>
        <v>-419516156.00471938</v>
      </c>
      <c r="H130" s="80">
        <f t="shared" si="68"/>
        <v>-437526256.50630075</v>
      </c>
      <c r="I130" s="80">
        <f t="shared" si="68"/>
        <v>-456256413.15973103</v>
      </c>
      <c r="J130" s="80">
        <f t="shared" si="68"/>
        <v>-475803299.77275425</v>
      </c>
      <c r="K130" s="80">
        <f t="shared" si="68"/>
        <v>-496124780.24038821</v>
      </c>
      <c r="L130" s="80">
        <f t="shared" si="68"/>
        <v>-517251444.30465978</v>
      </c>
      <c r="M130" s="80">
        <f t="shared" si="68"/>
        <v>-539212742.04713047</v>
      </c>
      <c r="O130" s="191"/>
    </row>
    <row r="131" spans="1:15" x14ac:dyDescent="0.25">
      <c r="A131" s="75" t="s">
        <v>619</v>
      </c>
      <c r="B131" s="77"/>
      <c r="C131" s="80">
        <f>C129+C130</f>
        <v>514138705.59737122</v>
      </c>
      <c r="D131" s="80">
        <f t="shared" si="69"/>
        <v>526277283.00931865</v>
      </c>
      <c r="E131" s="80">
        <f t="shared" si="68"/>
        <v>542569398.26508284</v>
      </c>
      <c r="F131" s="80">
        <f t="shared" si="68"/>
        <v>559388661.9327935</v>
      </c>
      <c r="G131" s="80">
        <f t="shared" si="68"/>
        <v>574899782.24019623</v>
      </c>
      <c r="H131" s="80">
        <f t="shared" si="68"/>
        <v>590757747.08448195</v>
      </c>
      <c r="I131" s="80">
        <f t="shared" si="68"/>
        <v>606969095.93788671</v>
      </c>
      <c r="J131" s="80">
        <f t="shared" si="68"/>
        <v>623070443.70009732</v>
      </c>
      <c r="K131" s="80">
        <f t="shared" si="68"/>
        <v>639515993.39506292</v>
      </c>
      <c r="L131" s="80">
        <f t="shared" si="68"/>
        <v>656297360.70386648</v>
      </c>
      <c r="M131" s="80">
        <f t="shared" si="68"/>
        <v>673419898.28894651</v>
      </c>
      <c r="O131" s="191"/>
    </row>
    <row r="132" spans="1:15" s="44" customFormat="1" x14ac:dyDescent="0.25">
      <c r="A132" s="76" t="s">
        <v>1165</v>
      </c>
      <c r="B132" s="78"/>
      <c r="C132" s="81">
        <f>'Capital Works'!D62</f>
        <v>5500000</v>
      </c>
      <c r="D132" s="81">
        <f>'Capital Works'!E62</f>
        <v>2858537.2361499183</v>
      </c>
      <c r="E132" s="81">
        <f>'Capital Works'!F62</f>
        <v>3766556.7426361642</v>
      </c>
      <c r="F132" s="81">
        <f>'Capital Works'!G62</f>
        <v>274870.06746201875</v>
      </c>
      <c r="G132" s="81">
        <f>'Capital Works'!H62</f>
        <v>282018.68079955142</v>
      </c>
      <c r="H132" s="81">
        <f>'Capital Works'!I62</f>
        <v>289352.89190336142</v>
      </c>
      <c r="I132" s="81">
        <f>'Capital Works'!J62</f>
        <v>296877.51203143329</v>
      </c>
      <c r="J132" s="81">
        <f>'Capital Works'!K62</f>
        <v>304597.47699046507</v>
      </c>
      <c r="K132" s="81">
        <f>'Capital Works'!L62</f>
        <v>312517.85035593493</v>
      </c>
      <c r="L132" s="81">
        <f>'Capital Works'!M62</f>
        <v>320643.82677532057</v>
      </c>
      <c r="M132" s="81">
        <f>'Capital Works'!N62</f>
        <v>328980.73535661661</v>
      </c>
      <c r="O132" s="191"/>
    </row>
    <row r="133" spans="1:15" x14ac:dyDescent="0.25">
      <c r="A133" s="76" t="s">
        <v>1164</v>
      </c>
      <c r="B133" s="78"/>
      <c r="C133" s="81">
        <f>'Capital Works'!D63</f>
        <v>5436495</v>
      </c>
      <c r="D133" s="81">
        <f>'Capital Works'!E63</f>
        <v>8963112.4957245402</v>
      </c>
      <c r="E133" s="81">
        <f>'Capital Works'!F63</f>
        <v>8438439.2690479942</v>
      </c>
      <c r="F133" s="81">
        <f>'Capital Works'!G63</f>
        <v>10640418.791411355</v>
      </c>
      <c r="G133" s="81">
        <f>'Capital Works'!H63</f>
        <v>10907060.261180835</v>
      </c>
      <c r="H133" s="81">
        <f>'Capital Works'!I63</f>
        <v>11181315.656452514</v>
      </c>
      <c r="I133" s="81">
        <f>'Capital Works'!J63</f>
        <v>10963398.91970261</v>
      </c>
      <c r="J133" s="81">
        <f>'Capital Works'!K63</f>
        <v>11238236.373484666</v>
      </c>
      <c r="K133" s="81">
        <f>'Capital Works'!L63</f>
        <v>11505617.727291241</v>
      </c>
      <c r="L133" s="81">
        <f>'Capital Works'!M63</f>
        <v>11780589.219452661</v>
      </c>
      <c r="M133" s="81">
        <f>'Capital Works'!N63</f>
        <v>12063363.146781622</v>
      </c>
      <c r="O133" s="191"/>
    </row>
    <row r="134" spans="1:15" x14ac:dyDescent="0.25">
      <c r="A134" s="76" t="s">
        <v>620</v>
      </c>
      <c r="B134" s="78"/>
      <c r="C134" s="81">
        <f>-C133*0.2</f>
        <v>-1087299</v>
      </c>
      <c r="D134" s="81">
        <f>-D133*0.2</f>
        <v>-1792622.499144908</v>
      </c>
      <c r="E134" s="81">
        <f t="shared" ref="E134:M134" si="70">-E133*0.2</f>
        <v>-1687687.8538095988</v>
      </c>
      <c r="F134" s="81">
        <f t="shared" si="70"/>
        <v>-2128083.7582822712</v>
      </c>
      <c r="G134" s="81">
        <f t="shared" si="70"/>
        <v>-2181412.0522361672</v>
      </c>
      <c r="H134" s="81">
        <f t="shared" si="70"/>
        <v>-2236263.1312905028</v>
      </c>
      <c r="I134" s="81">
        <f t="shared" si="70"/>
        <v>-2192679.783940522</v>
      </c>
      <c r="J134" s="81">
        <f t="shared" si="70"/>
        <v>-2247647.2746969331</v>
      </c>
      <c r="K134" s="81">
        <f t="shared" si="70"/>
        <v>-2301123.5454582484</v>
      </c>
      <c r="L134" s="81">
        <f t="shared" si="70"/>
        <v>-2356117.8438905324</v>
      </c>
      <c r="M134" s="81">
        <f t="shared" si="70"/>
        <v>-2412672.6293563242</v>
      </c>
      <c r="O134" s="191"/>
    </row>
    <row r="135" spans="1:15" x14ac:dyDescent="0.25">
      <c r="A135" s="76" t="s">
        <v>621</v>
      </c>
      <c r="B135" s="78"/>
      <c r="C135" s="81">
        <f>-C134*0.7</f>
        <v>761109.29999999993</v>
      </c>
      <c r="D135" s="81">
        <f>-D134*0.7</f>
        <v>1254835.7494014355</v>
      </c>
      <c r="E135" s="81">
        <f t="shared" ref="E135:M135" si="71">-E134*0.7</f>
        <v>1181381.4976667191</v>
      </c>
      <c r="F135" s="81">
        <f t="shared" si="71"/>
        <v>1489658.6307975897</v>
      </c>
      <c r="G135" s="81">
        <f t="shared" si="71"/>
        <v>1526988.436565317</v>
      </c>
      <c r="H135" s="81">
        <f t="shared" si="71"/>
        <v>1565384.1919033518</v>
      </c>
      <c r="I135" s="81">
        <f t="shared" si="71"/>
        <v>1534875.8487583653</v>
      </c>
      <c r="J135" s="81">
        <f t="shared" si="71"/>
        <v>1573353.0922878531</v>
      </c>
      <c r="K135" s="81">
        <f t="shared" si="71"/>
        <v>1610786.4818207738</v>
      </c>
      <c r="L135" s="81">
        <f t="shared" si="71"/>
        <v>1649282.4907233727</v>
      </c>
      <c r="M135" s="81">
        <f t="shared" si="71"/>
        <v>1688870.8405494269</v>
      </c>
      <c r="O135" s="191"/>
    </row>
    <row r="136" spans="1:15" x14ac:dyDescent="0.25">
      <c r="A136" s="76" t="s">
        <v>622</v>
      </c>
      <c r="B136" s="78"/>
      <c r="C136" s="81">
        <f>C134+C135</f>
        <v>-326189.70000000007</v>
      </c>
      <c r="D136" s="81">
        <f>D134+D135</f>
        <v>-537786.74974347255</v>
      </c>
      <c r="E136" s="81">
        <f t="shared" ref="E136:M136" si="72">E134+E135</f>
        <v>-506306.3561428797</v>
      </c>
      <c r="F136" s="81">
        <f t="shared" si="72"/>
        <v>-638425.12748468155</v>
      </c>
      <c r="G136" s="81">
        <f t="shared" si="72"/>
        <v>-654423.61567085027</v>
      </c>
      <c r="H136" s="81">
        <f t="shared" si="72"/>
        <v>-670878.93938715104</v>
      </c>
      <c r="I136" s="81">
        <f t="shared" si="72"/>
        <v>-657803.93518215674</v>
      </c>
      <c r="J136" s="81">
        <f t="shared" si="72"/>
        <v>-674294.18240907998</v>
      </c>
      <c r="K136" s="81">
        <f t="shared" si="72"/>
        <v>-690337.06363747455</v>
      </c>
      <c r="L136" s="81">
        <f t="shared" si="72"/>
        <v>-706835.35316715972</v>
      </c>
      <c r="M136" s="81">
        <f t="shared" si="72"/>
        <v>-723801.78880689736</v>
      </c>
      <c r="O136" s="191"/>
    </row>
    <row r="137" spans="1:15" x14ac:dyDescent="0.25">
      <c r="A137" s="76" t="s">
        <v>623</v>
      </c>
      <c r="B137" s="90">
        <v>9.1000000000000004E-3</v>
      </c>
      <c r="C137" s="81">
        <f>-TB!D82</f>
        <v>-8754502</v>
      </c>
      <c r="D137" s="81">
        <f>-D129*$B$137</f>
        <v>-8148679.8015997801</v>
      </c>
      <c r="E137" s="81">
        <f t="shared" ref="E137:M137" si="73">-E129*$B$137</f>
        <v>-8443660.9444576129</v>
      </c>
      <c r="F137" s="81">
        <f t="shared" si="73"/>
        <v>-8750459.9723057114</v>
      </c>
      <c r="G137" s="81">
        <f t="shared" si="73"/>
        <v>-9049185.0380287319</v>
      </c>
      <c r="H137" s="81">
        <f t="shared" si="73"/>
        <v>-9357384.4326761235</v>
      </c>
      <c r="I137" s="81">
        <f t="shared" si="73"/>
        <v>-9675352.1327883229</v>
      </c>
      <c r="J137" s="81">
        <f t="shared" si="73"/>
        <v>-9999751.0656029489</v>
      </c>
      <c r="K137" s="81">
        <f t="shared" si="73"/>
        <v>-10334331.040082606</v>
      </c>
      <c r="L137" s="81">
        <f t="shared" si="73"/>
        <v>-10679294.125577589</v>
      </c>
      <c r="M137" s="81">
        <f t="shared" si="73"/>
        <v>-11034957.027058301</v>
      </c>
      <c r="O137" s="191"/>
    </row>
    <row r="138" spans="1:15" x14ac:dyDescent="0.25">
      <c r="A138" s="76" t="s">
        <v>1186</v>
      </c>
      <c r="B138" s="90"/>
      <c r="C138" s="81">
        <f>C129*Assumptions!B62</f>
        <v>17364904.369747423</v>
      </c>
      <c r="D138" s="81">
        <f>D129*Assumptions!C62</f>
        <v>22386482.971427966</v>
      </c>
      <c r="E138" s="81">
        <f>E129*Assumptions!D62</f>
        <v>23196870.726531904</v>
      </c>
      <c r="F138" s="81">
        <f>F129*Assumptions!E62</f>
        <v>24039725.198642064</v>
      </c>
      <c r="G138" s="81">
        <f>G129*Assumptions!F62</f>
        <v>24860398.45612289</v>
      </c>
      <c r="H138" s="81">
        <f>H129*Assumptions!G62</f>
        <v>25707100.089769572</v>
      </c>
      <c r="I138" s="81">
        <f>I129*Assumptions!H62</f>
        <v>26580637.727440447</v>
      </c>
      <c r="J138" s="81">
        <f>J129*Assumptions!I62</f>
        <v>27471843.586821288</v>
      </c>
      <c r="K138" s="81">
        <f>K129*Assumptions!J62</f>
        <v>28391019.34088628</v>
      </c>
      <c r="L138" s="81">
        <f>L129*Assumptions!K62</f>
        <v>29338720.125213161</v>
      </c>
      <c r="M138" s="81">
        <f>M129*Assumptions!L62</f>
        <v>30315816.008401927</v>
      </c>
      <c r="O138" s="191"/>
    </row>
    <row r="139" spans="1:15" s="44" customFormat="1" x14ac:dyDescent="0.25">
      <c r="A139" s="76" t="s">
        <v>1185</v>
      </c>
      <c r="B139" s="90"/>
      <c r="C139" s="81">
        <f>(C130/C129)*C138</f>
        <v>-7082130.2577999989</v>
      </c>
      <c r="D139" s="81">
        <f t="shared" ref="D139:M139" si="74">(D130/D129)*D138</f>
        <v>-9229550.8961949982</v>
      </c>
      <c r="E139" s="81">
        <f t="shared" si="74"/>
        <v>-9632635.7699048333</v>
      </c>
      <c r="F139" s="81">
        <f t="shared" si="74"/>
        <v>-10055008.650322227</v>
      </c>
      <c r="G139" s="81">
        <f t="shared" si="74"/>
        <v>-10487903.900117984</v>
      </c>
      <c r="H139" s="81">
        <f t="shared" si="74"/>
        <v>-10938156.41265752</v>
      </c>
      <c r="I139" s="81">
        <f t="shared" si="74"/>
        <v>-11406410.328993278</v>
      </c>
      <c r="J139" s="81">
        <f t="shared" si="74"/>
        <v>-11895082.494318856</v>
      </c>
      <c r="K139" s="81">
        <f t="shared" si="74"/>
        <v>-12403119.506009707</v>
      </c>
      <c r="L139" s="81">
        <f t="shared" si="74"/>
        <v>-12931286.107616495</v>
      </c>
      <c r="M139" s="81">
        <f t="shared" si="74"/>
        <v>-13480318.551178264</v>
      </c>
      <c r="O139" s="191"/>
    </row>
    <row r="140" spans="1:15" x14ac:dyDescent="0.25">
      <c r="A140" s="75" t="s">
        <v>624</v>
      </c>
      <c r="B140" s="77"/>
      <c r="C140" s="80">
        <f>C129+C132+C133+C134+C138</f>
        <v>895459318.85711861</v>
      </c>
      <c r="D140" s="80">
        <f t="shared" ref="D140:M140" si="75">D129+D132+D133+D134+D138</f>
        <v>927874829.06127608</v>
      </c>
      <c r="E140" s="80">
        <f t="shared" si="75"/>
        <v>961589007.94568253</v>
      </c>
      <c r="F140" s="80">
        <f t="shared" si="75"/>
        <v>994415938.2449156</v>
      </c>
      <c r="G140" s="80">
        <f t="shared" si="75"/>
        <v>1028284003.5907828</v>
      </c>
      <c r="H140" s="80">
        <f t="shared" si="75"/>
        <v>1063225509.0976177</v>
      </c>
      <c r="I140" s="80">
        <f t="shared" si="75"/>
        <v>1098873743.4728515</v>
      </c>
      <c r="J140" s="80">
        <f t="shared" si="75"/>
        <v>1135640773.6354511</v>
      </c>
      <c r="K140" s="80">
        <f t="shared" si="75"/>
        <v>1173548805.0085263</v>
      </c>
      <c r="L140" s="80">
        <f t="shared" si="75"/>
        <v>1212632640.336077</v>
      </c>
      <c r="M140" s="80">
        <f t="shared" si="75"/>
        <v>1252928127.5972607</v>
      </c>
      <c r="O140" s="191"/>
    </row>
    <row r="141" spans="1:15" x14ac:dyDescent="0.25">
      <c r="A141" s="75" t="s">
        <v>625</v>
      </c>
      <c r="B141" s="77"/>
      <c r="C141" s="80">
        <f>C130+C135+C137+C139</f>
        <v>-369182035.84779996</v>
      </c>
      <c r="D141" s="80">
        <f t="shared" ref="D141:M141" si="76">D130+D135+D137+D139</f>
        <v>-385305430.7961933</v>
      </c>
      <c r="E141" s="80">
        <f t="shared" si="76"/>
        <v>-402200346.01288903</v>
      </c>
      <c r="F141" s="80">
        <f t="shared" si="76"/>
        <v>-419516156.00471938</v>
      </c>
      <c r="G141" s="80">
        <f t="shared" si="76"/>
        <v>-437526256.50630075</v>
      </c>
      <c r="H141" s="80">
        <f t="shared" si="76"/>
        <v>-456256413.15973103</v>
      </c>
      <c r="I141" s="80">
        <f t="shared" si="76"/>
        <v>-475803299.77275425</v>
      </c>
      <c r="J141" s="80">
        <f t="shared" si="76"/>
        <v>-496124780.24038821</v>
      </c>
      <c r="K141" s="80">
        <f t="shared" si="76"/>
        <v>-517251444.30465978</v>
      </c>
      <c r="L141" s="80">
        <f t="shared" si="76"/>
        <v>-539212742.04713047</v>
      </c>
      <c r="M141" s="80">
        <f t="shared" si="76"/>
        <v>-562039146.78481746</v>
      </c>
      <c r="O141" s="191"/>
    </row>
    <row r="142" spans="1:15" x14ac:dyDescent="0.25">
      <c r="A142" s="75" t="s">
        <v>626</v>
      </c>
      <c r="B142" s="77"/>
      <c r="C142" s="80">
        <f>C140+C141</f>
        <v>526277283.00931865</v>
      </c>
      <c r="D142" s="80">
        <f t="shared" ref="D142:M142" si="77">D140+D141</f>
        <v>542569398.26508284</v>
      </c>
      <c r="E142" s="80">
        <f t="shared" si="77"/>
        <v>559388661.9327935</v>
      </c>
      <c r="F142" s="80">
        <f t="shared" si="77"/>
        <v>574899782.24019623</v>
      </c>
      <c r="G142" s="80">
        <f t="shared" si="77"/>
        <v>590757747.08448195</v>
      </c>
      <c r="H142" s="80">
        <f t="shared" si="77"/>
        <v>606969095.93788671</v>
      </c>
      <c r="I142" s="80">
        <f t="shared" si="77"/>
        <v>623070443.70009732</v>
      </c>
      <c r="J142" s="80">
        <f t="shared" si="77"/>
        <v>639515993.39506292</v>
      </c>
      <c r="K142" s="80">
        <f t="shared" si="77"/>
        <v>656297360.70386648</v>
      </c>
      <c r="L142" s="80">
        <f t="shared" si="77"/>
        <v>673419898.28894651</v>
      </c>
      <c r="M142" s="80">
        <f t="shared" si="77"/>
        <v>690888980.81244326</v>
      </c>
      <c r="O142" s="191"/>
    </row>
    <row r="143" spans="1:15" x14ac:dyDescent="0.25">
      <c r="O143" s="191"/>
    </row>
    <row r="144" spans="1:15" x14ac:dyDescent="0.25">
      <c r="A144" s="64" t="s">
        <v>671</v>
      </c>
      <c r="B144" s="6"/>
      <c r="O144" s="191"/>
    </row>
    <row r="145" spans="1:15" x14ac:dyDescent="0.25">
      <c r="A145" s="75" t="s">
        <v>617</v>
      </c>
      <c r="B145" s="77"/>
      <c r="C145" s="80">
        <v>107246573.34000009</v>
      </c>
      <c r="D145" s="80">
        <f>C156</f>
        <v>112831504.8068001</v>
      </c>
      <c r="E145" s="80">
        <f t="shared" ref="E145:M147" si="78">D156</f>
        <v>119319787.19949153</v>
      </c>
      <c r="F145" s="80">
        <f t="shared" si="78"/>
        <v>127089653.30915196</v>
      </c>
      <c r="G145" s="80">
        <f t="shared" si="78"/>
        <v>133620187.02960359</v>
      </c>
      <c r="H145" s="80">
        <f t="shared" si="78"/>
        <v>139903859.88457727</v>
      </c>
      <c r="I145" s="80">
        <f t="shared" si="78"/>
        <v>146416546.63305238</v>
      </c>
      <c r="J145" s="80">
        <f t="shared" si="78"/>
        <v>153166077.51214963</v>
      </c>
      <c r="K145" s="80">
        <f t="shared" si="78"/>
        <v>160560538.77493978</v>
      </c>
      <c r="L145" s="80">
        <f t="shared" si="78"/>
        <v>167658280.78759515</v>
      </c>
      <c r="M145" s="80">
        <f t="shared" si="78"/>
        <v>174934176.37613013</v>
      </c>
      <c r="O145" s="191"/>
    </row>
    <row r="146" spans="1:15" x14ac:dyDescent="0.25">
      <c r="A146" s="75" t="s">
        <v>618</v>
      </c>
      <c r="B146" s="77"/>
      <c r="C146" s="80">
        <v>-27306466.460000001</v>
      </c>
      <c r="D146" s="80">
        <f t="shared" ref="D146:D147" si="79">C157</f>
        <v>-29070036.7892</v>
      </c>
      <c r="E146" s="80">
        <f t="shared" si="78"/>
        <v>-30943734.505092166</v>
      </c>
      <c r="F146" s="80">
        <f t="shared" si="78"/>
        <v>-32947353.452601533</v>
      </c>
      <c r="G146" s="80">
        <f t="shared" si="78"/>
        <v>-35198754.195910938</v>
      </c>
      <c r="H146" s="80">
        <f t="shared" si="78"/>
        <v>-37674227.230729416</v>
      </c>
      <c r="I146" s="80">
        <f t="shared" si="78"/>
        <v>-40292136.227031745</v>
      </c>
      <c r="J146" s="80">
        <f t="shared" si="78"/>
        <v>-43058989.56477733</v>
      </c>
      <c r="K146" s="80">
        <f t="shared" si="78"/>
        <v>-45911559.353288136</v>
      </c>
      <c r="L146" s="80">
        <f t="shared" si="78"/>
        <v>-49028341.332594194</v>
      </c>
      <c r="M146" s="80">
        <f t="shared" si="78"/>
        <v>-52328051.377054326</v>
      </c>
      <c r="O146" s="191"/>
    </row>
    <row r="147" spans="1:15" x14ac:dyDescent="0.25">
      <c r="A147" s="75" t="s">
        <v>619</v>
      </c>
      <c r="B147" s="77"/>
      <c r="C147" s="80">
        <f>C145+C146</f>
        <v>79940106.880000085</v>
      </c>
      <c r="D147" s="80">
        <f t="shared" si="79"/>
        <v>83761468.017600089</v>
      </c>
      <c r="E147" s="80">
        <f t="shared" si="78"/>
        <v>88376052.694399357</v>
      </c>
      <c r="F147" s="80">
        <f t="shared" si="78"/>
        <v>94142299.856550425</v>
      </c>
      <c r="G147" s="80">
        <f t="shared" si="78"/>
        <v>98421432.83369264</v>
      </c>
      <c r="H147" s="80">
        <f t="shared" si="78"/>
        <v>102229632.65384786</v>
      </c>
      <c r="I147" s="80">
        <f t="shared" si="78"/>
        <v>106124410.40602064</v>
      </c>
      <c r="J147" s="80">
        <f t="shared" si="78"/>
        <v>110107087.9473723</v>
      </c>
      <c r="K147" s="80">
        <f t="shared" si="78"/>
        <v>114648979.42165163</v>
      </c>
      <c r="L147" s="80">
        <f t="shared" si="78"/>
        <v>118629939.45500097</v>
      </c>
      <c r="M147" s="80">
        <f t="shared" si="78"/>
        <v>122606124.9990758</v>
      </c>
      <c r="O147" s="191"/>
    </row>
    <row r="148" spans="1:15" s="44" customFormat="1" x14ac:dyDescent="0.25">
      <c r="A148" s="76" t="s">
        <v>1165</v>
      </c>
      <c r="B148" s="78"/>
      <c r="C148" s="81">
        <f>'Capital Works'!D74</f>
        <v>1700000</v>
      </c>
      <c r="D148" s="81">
        <f>'Capital Works'!E74</f>
        <v>1839707.5363715196</v>
      </c>
      <c r="E148" s="81">
        <f>'Capital Works'!F74</f>
        <v>2951833.4370369809</v>
      </c>
      <c r="F148" s="81">
        <f>'Capital Works'!G74</f>
        <v>2070729.0390108004</v>
      </c>
      <c r="G148" s="81">
        <f>'Capital Works'!H74</f>
        <v>2134263.8851528144</v>
      </c>
      <c r="H148" s="81">
        <f>'Capital Works'!I74</f>
        <v>2199679.605844039</v>
      </c>
      <c r="I148" s="81">
        <f>'Capital Works'!J74</f>
        <v>2267030.5037858738</v>
      </c>
      <c r="J148" s="81">
        <f>'Capital Works'!K74</f>
        <v>2336372.4206059752</v>
      </c>
      <c r="K148" s="81">
        <f>'Capital Works'!L74</f>
        <v>2407762.7798512257</v>
      </c>
      <c r="L148" s="81">
        <f>'Capital Works'!M74</f>
        <v>2481260.6311682146</v>
      </c>
      <c r="M148" s="81">
        <f>'Capital Works'!N74</f>
        <v>2556926.6957037249</v>
      </c>
      <c r="O148" s="191"/>
    </row>
    <row r="149" spans="1:15" x14ac:dyDescent="0.25">
      <c r="A149" s="76" t="s">
        <v>1164</v>
      </c>
      <c r="B149" s="78"/>
      <c r="C149" s="81">
        <f>'Capital Works'!D75</f>
        <v>2175000</v>
      </c>
      <c r="D149" s="81">
        <f>'Capital Works'!E75</f>
        <v>2284734.0451873979</v>
      </c>
      <c r="E149" s="81">
        <f>'Capital Works'!F75</f>
        <v>2293797.4907952053</v>
      </c>
      <c r="F149" s="81">
        <f>'Capital Works'!G75</f>
        <v>1603204.1858900236</v>
      </c>
      <c r="G149" s="81">
        <f>'Capital Works'!H75</f>
        <v>1011130.3676010019</v>
      </c>
      <c r="H149" s="81">
        <f>'Capital Works'!I75</f>
        <v>1019263.3068958034</v>
      </c>
      <c r="I149" s="81">
        <f>'Capital Works'!J75</f>
        <v>1027608.3868563082</v>
      </c>
      <c r="J149" s="81">
        <f>'Capital Works'!K75</f>
        <v>1536171.1304755234</v>
      </c>
      <c r="K149" s="81">
        <f>'Capital Works'!L75</f>
        <v>844957.20428829675</v>
      </c>
      <c r="L149" s="81">
        <f>'Capital Works'!M75</f>
        <v>753972.42209611321</v>
      </c>
      <c r="M149" s="81">
        <f>'Capital Works'!N75</f>
        <v>1263222.7487884073</v>
      </c>
      <c r="O149" s="191"/>
    </row>
    <row r="150" spans="1:15" x14ac:dyDescent="0.25">
      <c r="A150" s="76" t="s">
        <v>620</v>
      </c>
      <c r="B150" s="78"/>
      <c r="C150" s="81">
        <f>-C149*0.2</f>
        <v>-435000</v>
      </c>
      <c r="D150" s="81">
        <f>-D149*0.2</f>
        <v>-456946.80903747957</v>
      </c>
      <c r="E150" s="81">
        <f t="shared" ref="E150:M150" si="80">-E149*0.2</f>
        <v>-458759.4981590411</v>
      </c>
      <c r="F150" s="81">
        <f t="shared" si="80"/>
        <v>-320640.83717800473</v>
      </c>
      <c r="G150" s="81">
        <f t="shared" si="80"/>
        <v>-202226.07352020039</v>
      </c>
      <c r="H150" s="81">
        <f t="shared" si="80"/>
        <v>-203852.66137916071</v>
      </c>
      <c r="I150" s="81">
        <f t="shared" si="80"/>
        <v>-205521.67737126164</v>
      </c>
      <c r="J150" s="81">
        <f t="shared" si="80"/>
        <v>-307234.22609510471</v>
      </c>
      <c r="K150" s="81">
        <f t="shared" si="80"/>
        <v>-168991.44085765936</v>
      </c>
      <c r="L150" s="81">
        <f t="shared" si="80"/>
        <v>-150794.48441922266</v>
      </c>
      <c r="M150" s="81">
        <f t="shared" si="80"/>
        <v>-252644.54975768147</v>
      </c>
      <c r="O150" s="191"/>
    </row>
    <row r="151" spans="1:15" x14ac:dyDescent="0.25">
      <c r="A151" s="76" t="s">
        <v>621</v>
      </c>
      <c r="B151" s="78"/>
      <c r="C151" s="81">
        <f>-C150*0.7</f>
        <v>304500</v>
      </c>
      <c r="D151" s="81">
        <f>-D150*0.7</f>
        <v>319862.76632623567</v>
      </c>
      <c r="E151" s="81">
        <f t="shared" ref="E151:M151" si="81">-E150*0.7</f>
        <v>321131.64871132874</v>
      </c>
      <c r="F151" s="81">
        <f t="shared" si="81"/>
        <v>224448.58602460331</v>
      </c>
      <c r="G151" s="81">
        <f t="shared" si="81"/>
        <v>141558.25146414025</v>
      </c>
      <c r="H151" s="81">
        <f t="shared" si="81"/>
        <v>142696.8629654125</v>
      </c>
      <c r="I151" s="81">
        <f t="shared" si="81"/>
        <v>143865.17415988314</v>
      </c>
      <c r="J151" s="81">
        <f t="shared" si="81"/>
        <v>215063.95826657329</v>
      </c>
      <c r="K151" s="81">
        <f t="shared" si="81"/>
        <v>118294.00860036154</v>
      </c>
      <c r="L151" s="81">
        <f t="shared" si="81"/>
        <v>105556.13909345586</v>
      </c>
      <c r="M151" s="81">
        <f t="shared" si="81"/>
        <v>176851.18483037702</v>
      </c>
      <c r="O151" s="191"/>
    </row>
    <row r="152" spans="1:15" x14ac:dyDescent="0.25">
      <c r="A152" s="76" t="s">
        <v>622</v>
      </c>
      <c r="B152" s="78"/>
      <c r="C152" s="81">
        <f>C150+C151</f>
        <v>-130500</v>
      </c>
      <c r="D152" s="81">
        <f>D150+D151</f>
        <v>-137084.04271124391</v>
      </c>
      <c r="E152" s="81">
        <f t="shared" ref="E152:M152" si="82">E150+E151</f>
        <v>-137627.84944771236</v>
      </c>
      <c r="F152" s="81">
        <f t="shared" si="82"/>
        <v>-96192.251153401419</v>
      </c>
      <c r="G152" s="81">
        <f t="shared" si="82"/>
        <v>-60667.822056060133</v>
      </c>
      <c r="H152" s="81">
        <f t="shared" si="82"/>
        <v>-61155.798413748213</v>
      </c>
      <c r="I152" s="81">
        <f t="shared" si="82"/>
        <v>-61656.503211378498</v>
      </c>
      <c r="J152" s="81">
        <f t="shared" si="82"/>
        <v>-92170.267828531418</v>
      </c>
      <c r="K152" s="81">
        <f t="shared" si="82"/>
        <v>-50697.432257297813</v>
      </c>
      <c r="L152" s="81">
        <f t="shared" si="82"/>
        <v>-45238.345325766801</v>
      </c>
      <c r="M152" s="81">
        <f t="shared" si="82"/>
        <v>-75793.364927304443</v>
      </c>
      <c r="O152" s="191"/>
    </row>
    <row r="153" spans="1:15" x14ac:dyDescent="0.25">
      <c r="A153" s="76" t="s">
        <v>623</v>
      </c>
      <c r="B153" s="90">
        <v>1.2999999999999999E-2</v>
      </c>
      <c r="C153" s="81">
        <f>-TB!D84</f>
        <v>-1521941</v>
      </c>
      <c r="D153" s="81">
        <f>-D145*$B$153</f>
        <v>-1466809.5624884013</v>
      </c>
      <c r="E153" s="81">
        <f t="shared" ref="E153:M153" si="83">-E145*$B$153</f>
        <v>-1551157.2335933899</v>
      </c>
      <c r="F153" s="81">
        <f t="shared" si="83"/>
        <v>-1652165.4930189755</v>
      </c>
      <c r="G153" s="81">
        <f t="shared" si="83"/>
        <v>-1737062.4313848466</v>
      </c>
      <c r="H153" s="81">
        <f t="shared" si="83"/>
        <v>-1818750.1784995045</v>
      </c>
      <c r="I153" s="81">
        <f t="shared" si="83"/>
        <v>-1903415.1062296808</v>
      </c>
      <c r="J153" s="81">
        <f t="shared" si="83"/>
        <v>-1991159.0076579452</v>
      </c>
      <c r="K153" s="81">
        <f t="shared" si="83"/>
        <v>-2087287.0040742171</v>
      </c>
      <c r="L153" s="81">
        <f t="shared" si="83"/>
        <v>-2179557.650238737</v>
      </c>
      <c r="M153" s="81">
        <f t="shared" si="83"/>
        <v>-2274144.2928896914</v>
      </c>
      <c r="O153" s="191"/>
    </row>
    <row r="154" spans="1:15" x14ac:dyDescent="0.25">
      <c r="A154" s="76" t="s">
        <v>1186</v>
      </c>
      <c r="B154" s="90"/>
      <c r="C154" s="81">
        <f>C145*Assumptions!B62</f>
        <v>2144931.4668000019</v>
      </c>
      <c r="D154" s="81">
        <f>D145*Assumptions!C62</f>
        <v>2820787.6201700028</v>
      </c>
      <c r="E154" s="81">
        <f>E145*Assumptions!D62</f>
        <v>2982994.6799872885</v>
      </c>
      <c r="F154" s="81">
        <f>F145*Assumptions!E62</f>
        <v>3177241.3327287994</v>
      </c>
      <c r="G154" s="81">
        <f>G145*Assumptions!F62</f>
        <v>3340504.6757400897</v>
      </c>
      <c r="H154" s="81">
        <f>H145*Assumptions!G62</f>
        <v>3497596.497114432</v>
      </c>
      <c r="I154" s="81">
        <f>I145*Assumptions!H62</f>
        <v>3660413.6658263095</v>
      </c>
      <c r="J154" s="81">
        <f>J145*Assumptions!I62</f>
        <v>3829151.9378037411</v>
      </c>
      <c r="K154" s="81">
        <f>K145*Assumptions!J62</f>
        <v>4014013.4693734944</v>
      </c>
      <c r="L154" s="81">
        <f>L145*Assumptions!K62</f>
        <v>4191457.0196898789</v>
      </c>
      <c r="M154" s="81">
        <f>M145*Assumptions!L62</f>
        <v>4373354.4094032533</v>
      </c>
      <c r="O154" s="191"/>
    </row>
    <row r="155" spans="1:15" s="44" customFormat="1" x14ac:dyDescent="0.25">
      <c r="A155" s="76" t="s">
        <v>1185</v>
      </c>
      <c r="B155" s="90"/>
      <c r="C155" s="81">
        <f>(C146/C145)*C154</f>
        <v>-546129.32920000004</v>
      </c>
      <c r="D155" s="81">
        <f t="shared" ref="D155:M155" si="84">(D146/D145)*D154</f>
        <v>-726750.91973000008</v>
      </c>
      <c r="E155" s="81">
        <f t="shared" si="84"/>
        <v>-773593.36262730416</v>
      </c>
      <c r="F155" s="81">
        <f t="shared" si="84"/>
        <v>-823683.8363150385</v>
      </c>
      <c r="G155" s="81">
        <f t="shared" si="84"/>
        <v>-879968.85489777348</v>
      </c>
      <c r="H155" s="81">
        <f t="shared" si="84"/>
        <v>-941855.68076823547</v>
      </c>
      <c r="I155" s="81">
        <f t="shared" si="84"/>
        <v>-1007303.4056757935</v>
      </c>
      <c r="J155" s="81">
        <f t="shared" si="84"/>
        <v>-1076474.7391194333</v>
      </c>
      <c r="K155" s="81">
        <f t="shared" si="84"/>
        <v>-1147788.9838322036</v>
      </c>
      <c r="L155" s="81">
        <f t="shared" si="84"/>
        <v>-1225708.5333148548</v>
      </c>
      <c r="M155" s="81">
        <f t="shared" si="84"/>
        <v>-1308201.2844263583</v>
      </c>
      <c r="O155" s="191"/>
    </row>
    <row r="156" spans="1:15" x14ac:dyDescent="0.25">
      <c r="A156" s="75" t="s">
        <v>624</v>
      </c>
      <c r="B156" s="77"/>
      <c r="C156" s="80">
        <f>C145+C148+C149+C150+C154</f>
        <v>112831504.8068001</v>
      </c>
      <c r="D156" s="80">
        <f t="shared" ref="D156:M156" si="85">D145+D148+D149+D150+D154</f>
        <v>119319787.19949153</v>
      </c>
      <c r="E156" s="80">
        <f t="shared" si="85"/>
        <v>127089653.30915196</v>
      </c>
      <c r="F156" s="80">
        <f t="shared" si="85"/>
        <v>133620187.02960359</v>
      </c>
      <c r="G156" s="80">
        <f t="shared" si="85"/>
        <v>139903859.88457727</v>
      </c>
      <c r="H156" s="80">
        <f t="shared" si="85"/>
        <v>146416546.63305238</v>
      </c>
      <c r="I156" s="80">
        <f t="shared" si="85"/>
        <v>153166077.51214963</v>
      </c>
      <c r="J156" s="80">
        <f t="shared" si="85"/>
        <v>160560538.77493978</v>
      </c>
      <c r="K156" s="80">
        <f t="shared" si="85"/>
        <v>167658280.78759515</v>
      </c>
      <c r="L156" s="80">
        <f t="shared" si="85"/>
        <v>174934176.37613013</v>
      </c>
      <c r="M156" s="80">
        <f t="shared" si="85"/>
        <v>182875035.68026784</v>
      </c>
      <c r="O156" s="191"/>
    </row>
    <row r="157" spans="1:15" x14ac:dyDescent="0.25">
      <c r="A157" s="75" t="s">
        <v>625</v>
      </c>
      <c r="B157" s="77"/>
      <c r="C157" s="80">
        <f>C146+C151+C153+C155</f>
        <v>-29070036.7892</v>
      </c>
      <c r="D157" s="80">
        <f t="shared" ref="D157:M157" si="86">D146+D151+D153+D155</f>
        <v>-30943734.505092166</v>
      </c>
      <c r="E157" s="80">
        <f t="shared" si="86"/>
        <v>-32947353.452601533</v>
      </c>
      <c r="F157" s="80">
        <f t="shared" si="86"/>
        <v>-35198754.195910938</v>
      </c>
      <c r="G157" s="80">
        <f t="shared" si="86"/>
        <v>-37674227.230729416</v>
      </c>
      <c r="H157" s="80">
        <f t="shared" si="86"/>
        <v>-40292136.227031745</v>
      </c>
      <c r="I157" s="80">
        <f t="shared" si="86"/>
        <v>-43058989.56477733</v>
      </c>
      <c r="J157" s="80">
        <f t="shared" si="86"/>
        <v>-45911559.353288136</v>
      </c>
      <c r="K157" s="80">
        <f t="shared" si="86"/>
        <v>-49028341.332594194</v>
      </c>
      <c r="L157" s="80">
        <f t="shared" si="86"/>
        <v>-52328051.377054326</v>
      </c>
      <c r="M157" s="80">
        <f t="shared" si="86"/>
        <v>-55733545.769540004</v>
      </c>
      <c r="O157" s="191"/>
    </row>
    <row r="158" spans="1:15" x14ac:dyDescent="0.25">
      <c r="A158" s="75" t="s">
        <v>626</v>
      </c>
      <c r="B158" s="77"/>
      <c r="C158" s="80">
        <f>C156+C157</f>
        <v>83761468.017600089</v>
      </c>
      <c r="D158" s="80">
        <f t="shared" ref="D158:M158" si="87">D156+D157</f>
        <v>88376052.694399357</v>
      </c>
      <c r="E158" s="80">
        <f t="shared" si="87"/>
        <v>94142299.856550425</v>
      </c>
      <c r="F158" s="80">
        <f t="shared" si="87"/>
        <v>98421432.83369264</v>
      </c>
      <c r="G158" s="80">
        <f t="shared" si="87"/>
        <v>102229632.65384786</v>
      </c>
      <c r="H158" s="80">
        <f t="shared" si="87"/>
        <v>106124410.40602064</v>
      </c>
      <c r="I158" s="80">
        <f t="shared" si="87"/>
        <v>110107087.9473723</v>
      </c>
      <c r="J158" s="80">
        <f t="shared" si="87"/>
        <v>114648979.42165163</v>
      </c>
      <c r="K158" s="80">
        <f t="shared" si="87"/>
        <v>118629939.45500097</v>
      </c>
      <c r="L158" s="80">
        <f t="shared" si="87"/>
        <v>122606124.9990758</v>
      </c>
      <c r="M158" s="80">
        <f t="shared" si="87"/>
        <v>127141489.91072783</v>
      </c>
      <c r="O158" s="191"/>
    </row>
    <row r="159" spans="1:15" x14ac:dyDescent="0.25">
      <c r="O159" s="191"/>
    </row>
    <row r="160" spans="1:15" x14ac:dyDescent="0.25">
      <c r="A160" s="64" t="s">
        <v>673</v>
      </c>
      <c r="B160" s="6"/>
      <c r="O160" s="191"/>
    </row>
    <row r="161" spans="1:15" x14ac:dyDescent="0.25">
      <c r="A161" s="75" t="s">
        <v>617</v>
      </c>
      <c r="B161" s="77"/>
      <c r="C161" s="80">
        <v>307817176.0234164</v>
      </c>
      <c r="D161" s="80">
        <f>C172</f>
        <v>315753519.54388475</v>
      </c>
      <c r="E161" s="80">
        <f t="shared" ref="E161:M163" si="88">D172</f>
        <v>325507894.81815487</v>
      </c>
      <c r="F161" s="80">
        <f t="shared" si="88"/>
        <v>335570766.7581948</v>
      </c>
      <c r="G161" s="80">
        <f t="shared" si="88"/>
        <v>346153750.31434411</v>
      </c>
      <c r="H161" s="80">
        <f t="shared" si="88"/>
        <v>357237934.42952609</v>
      </c>
      <c r="I161" s="80">
        <f t="shared" si="88"/>
        <v>368536933.38657433</v>
      </c>
      <c r="J161" s="80">
        <f t="shared" si="88"/>
        <v>379557233.12930346</v>
      </c>
      <c r="K161" s="80">
        <f t="shared" si="88"/>
        <v>391193013.94117945</v>
      </c>
      <c r="L161" s="80">
        <f t="shared" si="88"/>
        <v>403060843.7157408</v>
      </c>
      <c r="M161" s="80">
        <f t="shared" si="88"/>
        <v>414667738.58424896</v>
      </c>
      <c r="O161" s="191"/>
    </row>
    <row r="162" spans="1:15" x14ac:dyDescent="0.25">
      <c r="A162" s="75" t="s">
        <v>618</v>
      </c>
      <c r="B162" s="77"/>
      <c r="C162" s="80">
        <v>-117411895.250007</v>
      </c>
      <c r="D162" s="80">
        <f t="shared" ref="D162:D163" si="89">C173</f>
        <v>-121805845.15500714</v>
      </c>
      <c r="E162" s="80">
        <f t="shared" si="88"/>
        <v>-127209302.17501256</v>
      </c>
      <c r="F162" s="80">
        <f t="shared" si="88"/>
        <v>-132819446.28566465</v>
      </c>
      <c r="G162" s="80">
        <f t="shared" si="88"/>
        <v>-138643383.94249192</v>
      </c>
      <c r="H162" s="80">
        <f t="shared" si="88"/>
        <v>-144696465.85619456</v>
      </c>
      <c r="I162" s="80">
        <f t="shared" si="88"/>
        <v>-150988491.09089613</v>
      </c>
      <c r="J162" s="80">
        <f t="shared" si="88"/>
        <v>-157667063.93054307</v>
      </c>
      <c r="K162" s="80">
        <f t="shared" si="88"/>
        <v>-164599278.26326811</v>
      </c>
      <c r="L162" s="80">
        <f t="shared" si="88"/>
        <v>-171796500.06379426</v>
      </c>
      <c r="M162" s="80">
        <f t="shared" si="88"/>
        <v>-179267114.32624036</v>
      </c>
      <c r="O162" s="191"/>
    </row>
    <row r="163" spans="1:15" x14ac:dyDescent="0.25">
      <c r="A163" s="75" t="s">
        <v>619</v>
      </c>
      <c r="B163" s="77"/>
      <c r="C163" s="80">
        <f>C161+C162</f>
        <v>190405280.7734094</v>
      </c>
      <c r="D163" s="80">
        <f t="shared" si="89"/>
        <v>193947674.38887763</v>
      </c>
      <c r="E163" s="80">
        <f t="shared" si="88"/>
        <v>198298592.64314231</v>
      </c>
      <c r="F163" s="80">
        <f t="shared" si="88"/>
        <v>202751320.47253016</v>
      </c>
      <c r="G163" s="80">
        <f t="shared" si="88"/>
        <v>207510366.37185219</v>
      </c>
      <c r="H163" s="80">
        <f t="shared" si="88"/>
        <v>212541468.57333153</v>
      </c>
      <c r="I163" s="80">
        <f t="shared" si="88"/>
        <v>217548442.2956782</v>
      </c>
      <c r="J163" s="80">
        <f t="shared" si="88"/>
        <v>221890169.19876039</v>
      </c>
      <c r="K163" s="80">
        <f t="shared" si="88"/>
        <v>226593735.67791134</v>
      </c>
      <c r="L163" s="80">
        <f t="shared" si="88"/>
        <v>231264343.65194654</v>
      </c>
      <c r="M163" s="80">
        <f t="shared" si="88"/>
        <v>235400624.2580086</v>
      </c>
      <c r="O163" s="191"/>
    </row>
    <row r="164" spans="1:15" s="44" customFormat="1" x14ac:dyDescent="0.25">
      <c r="A164" s="76" t="s">
        <v>1165</v>
      </c>
      <c r="B164" s="78"/>
      <c r="C164" s="81">
        <f>'Capital Works'!D85</f>
        <v>0</v>
      </c>
      <c r="D164" s="81">
        <f>'Capital Works'!E85</f>
        <v>0</v>
      </c>
      <c r="E164" s="81">
        <f>'Capital Works'!F85</f>
        <v>0</v>
      </c>
      <c r="F164" s="81">
        <f>'Capital Works'!G85</f>
        <v>200000</v>
      </c>
      <c r="G164" s="81">
        <f>'Capital Works'!H85</f>
        <v>400000</v>
      </c>
      <c r="H164" s="81">
        <f>'Capital Works'!I85</f>
        <v>300000</v>
      </c>
      <c r="I164" s="81">
        <f>'Capital Works'!J85</f>
        <v>500000</v>
      </c>
      <c r="J164" s="81">
        <f>'Capital Works'!K85</f>
        <v>800000</v>
      </c>
      <c r="K164" s="81">
        <f>'Capital Works'!L85</f>
        <v>700000</v>
      </c>
      <c r="L164" s="81">
        <f>'Capital Works'!M85</f>
        <v>100000</v>
      </c>
      <c r="M164" s="81">
        <f>'Capital Works'!N85</f>
        <v>800000</v>
      </c>
      <c r="O164" s="191"/>
    </row>
    <row r="165" spans="1:15" x14ac:dyDescent="0.25">
      <c r="A165" s="76" t="s">
        <v>1164</v>
      </c>
      <c r="B165" s="78"/>
      <c r="C165" s="81">
        <f>'Capital Works'!D86</f>
        <v>2225000</v>
      </c>
      <c r="D165" s="81">
        <f>'Capital Works'!E86</f>
        <v>2325671.607091242</v>
      </c>
      <c r="E165" s="81">
        <f>'Capital Works'!F86</f>
        <v>2406468.2119825305</v>
      </c>
      <c r="F165" s="81">
        <f>'Capital Works'!G86</f>
        <v>2492142.9839930767</v>
      </c>
      <c r="G165" s="81">
        <f>'Capital Works'!H86</f>
        <v>2537925.4466542341</v>
      </c>
      <c r="H165" s="81">
        <f>'Capital Works'!I86</f>
        <v>2585063.2453876161</v>
      </c>
      <c r="I165" s="81">
        <f>'Capital Works'!J86</f>
        <v>1633595.5100809971</v>
      </c>
      <c r="J165" s="81">
        <f>'Capital Works'!K86</f>
        <v>1683562.4795543053</v>
      </c>
      <c r="K165" s="81">
        <f>'Capital Works'!L86</f>
        <v>1735005.5325398534</v>
      </c>
      <c r="L165" s="81">
        <f>'Capital Works'!M86</f>
        <v>1787967.219518272</v>
      </c>
      <c r="M165" s="81">
        <f>'Capital Works'!N86</f>
        <v>1842491.2954335662</v>
      </c>
      <c r="O165" s="191"/>
    </row>
    <row r="166" spans="1:15" x14ac:dyDescent="0.25">
      <c r="A166" s="76" t="s">
        <v>620</v>
      </c>
      <c r="B166" s="78"/>
      <c r="C166" s="81">
        <f>-C165*0.2</f>
        <v>-445000</v>
      </c>
      <c r="D166" s="81">
        <f>-D165*0.2</f>
        <v>-465134.32141824841</v>
      </c>
      <c r="E166" s="81">
        <f t="shared" ref="E166:M166" si="90">-E165*0.2</f>
        <v>-481293.64239650615</v>
      </c>
      <c r="F166" s="81">
        <f t="shared" si="90"/>
        <v>-498428.59679861536</v>
      </c>
      <c r="G166" s="81">
        <f t="shared" si="90"/>
        <v>-507585.08933084685</v>
      </c>
      <c r="H166" s="81">
        <f t="shared" si="90"/>
        <v>-517012.64907752327</v>
      </c>
      <c r="I166" s="81">
        <f t="shared" si="90"/>
        <v>-326719.10201619944</v>
      </c>
      <c r="J166" s="81">
        <f t="shared" si="90"/>
        <v>-336712.49591086106</v>
      </c>
      <c r="K166" s="81">
        <f t="shared" si="90"/>
        <v>-347001.10650797072</v>
      </c>
      <c r="L166" s="81">
        <f t="shared" si="90"/>
        <v>-357593.44390365441</v>
      </c>
      <c r="M166" s="81">
        <f t="shared" si="90"/>
        <v>-368498.25908671325</v>
      </c>
      <c r="O166" s="191"/>
    </row>
    <row r="167" spans="1:15" x14ac:dyDescent="0.25">
      <c r="A167" s="76" t="s">
        <v>621</v>
      </c>
      <c r="B167" s="78"/>
      <c r="C167" s="81">
        <f>-C166*0.7</f>
        <v>311500</v>
      </c>
      <c r="D167" s="81">
        <f>-D166*0.7</f>
        <v>325594.02499277389</v>
      </c>
      <c r="E167" s="81">
        <f t="shared" ref="E167:M167" si="91">-E166*0.7</f>
        <v>336905.54967755429</v>
      </c>
      <c r="F167" s="81">
        <f t="shared" si="91"/>
        <v>348900.01775903074</v>
      </c>
      <c r="G167" s="81">
        <f t="shared" si="91"/>
        <v>355309.56253159279</v>
      </c>
      <c r="H167" s="81">
        <f t="shared" si="91"/>
        <v>361908.85435426625</v>
      </c>
      <c r="I167" s="81">
        <f t="shared" si="91"/>
        <v>228703.37141133958</v>
      </c>
      <c r="J167" s="81">
        <f t="shared" si="91"/>
        <v>235698.74713760274</v>
      </c>
      <c r="K167" s="81">
        <f t="shared" si="91"/>
        <v>242900.7745555795</v>
      </c>
      <c r="L167" s="81">
        <f t="shared" si="91"/>
        <v>250315.41073255806</v>
      </c>
      <c r="M167" s="81">
        <f t="shared" si="91"/>
        <v>257948.78136069927</v>
      </c>
      <c r="O167" s="191"/>
    </row>
    <row r="168" spans="1:15" x14ac:dyDescent="0.25">
      <c r="A168" s="76" t="s">
        <v>622</v>
      </c>
      <c r="B168" s="78"/>
      <c r="C168" s="81">
        <f>C166+C167</f>
        <v>-133500</v>
      </c>
      <c r="D168" s="81">
        <f>D166+D167</f>
        <v>-139540.29642547452</v>
      </c>
      <c r="E168" s="81">
        <f t="shared" ref="E168:M168" si="92">E166+E167</f>
        <v>-144388.09271895187</v>
      </c>
      <c r="F168" s="81">
        <f t="shared" si="92"/>
        <v>-149528.57903958461</v>
      </c>
      <c r="G168" s="81">
        <f t="shared" si="92"/>
        <v>-152275.52679925406</v>
      </c>
      <c r="H168" s="81">
        <f t="shared" si="92"/>
        <v>-155103.79472325701</v>
      </c>
      <c r="I168" s="81">
        <f t="shared" si="92"/>
        <v>-98015.730604859855</v>
      </c>
      <c r="J168" s="81">
        <f t="shared" si="92"/>
        <v>-101013.74877325832</v>
      </c>
      <c r="K168" s="81">
        <f t="shared" si="92"/>
        <v>-104100.33195239122</v>
      </c>
      <c r="L168" s="81">
        <f t="shared" si="92"/>
        <v>-107278.03317109635</v>
      </c>
      <c r="M168" s="81">
        <f t="shared" si="92"/>
        <v>-110549.47772601398</v>
      </c>
      <c r="O168" s="191"/>
    </row>
    <row r="169" spans="1:15" x14ac:dyDescent="0.25">
      <c r="A169" s="76" t="s">
        <v>623</v>
      </c>
      <c r="B169" s="90">
        <v>8.5000000000000006E-3</v>
      </c>
      <c r="C169" s="81">
        <f>-TB!D83</f>
        <v>-2357212</v>
      </c>
      <c r="D169" s="81">
        <f>-D161*$B$169</f>
        <v>-2683904.9161230205</v>
      </c>
      <c r="E169" s="81">
        <f t="shared" ref="E169:M169" si="93">-E161*$B$169</f>
        <v>-2766817.1059543164</v>
      </c>
      <c r="F169" s="81">
        <f t="shared" si="93"/>
        <v>-2852351.5174446562</v>
      </c>
      <c r="G169" s="81">
        <f t="shared" si="93"/>
        <v>-2942306.8776719254</v>
      </c>
      <c r="H169" s="81">
        <f t="shared" si="93"/>
        <v>-3036522.4426509719</v>
      </c>
      <c r="I169" s="81">
        <f t="shared" si="93"/>
        <v>-3132563.9337858818</v>
      </c>
      <c r="J169" s="81">
        <f t="shared" si="93"/>
        <v>-3226236.4815990794</v>
      </c>
      <c r="K169" s="81">
        <f t="shared" si="93"/>
        <v>-3325140.6185000255</v>
      </c>
      <c r="L169" s="81">
        <f t="shared" si="93"/>
        <v>-3426017.1715837969</v>
      </c>
      <c r="M169" s="81">
        <f t="shared" si="93"/>
        <v>-3524675.7779661166</v>
      </c>
      <c r="O169" s="191"/>
    </row>
    <row r="170" spans="1:15" x14ac:dyDescent="0.25">
      <c r="A170" s="76" t="s">
        <v>1186</v>
      </c>
      <c r="B170" s="90"/>
      <c r="C170" s="81">
        <f>C161*Assumptions!B64</f>
        <v>6156343.5204683281</v>
      </c>
      <c r="D170" s="81">
        <f>D161*Assumptions!C64</f>
        <v>7893837.9885971192</v>
      </c>
      <c r="E170" s="81">
        <f>E161*Assumptions!D64</f>
        <v>8137697.3704538718</v>
      </c>
      <c r="F170" s="81">
        <f>F161*Assumptions!E64</f>
        <v>8389269.1689548697</v>
      </c>
      <c r="G170" s="81">
        <f>G161*Assumptions!F64</f>
        <v>8653843.7578586023</v>
      </c>
      <c r="H170" s="81">
        <f>H161*Assumptions!G64</f>
        <v>8930948.3607381526</v>
      </c>
      <c r="I170" s="81">
        <f>I161*Assumptions!H64</f>
        <v>9213423.3346643578</v>
      </c>
      <c r="J170" s="81">
        <f>J161*Assumptions!I64</f>
        <v>9488930.8282325864</v>
      </c>
      <c r="K170" s="81">
        <f>K161*Assumptions!J64</f>
        <v>9779825.348529486</v>
      </c>
      <c r="L170" s="81">
        <f>L161*Assumptions!K64</f>
        <v>10076521.09289352</v>
      </c>
      <c r="M170" s="81">
        <f>M161*Assumptions!L64</f>
        <v>10366693.464606225</v>
      </c>
      <c r="O170" s="191"/>
    </row>
    <row r="171" spans="1:15" s="44" customFormat="1" x14ac:dyDescent="0.25">
      <c r="A171" s="76" t="s">
        <v>1185</v>
      </c>
      <c r="B171" s="90"/>
      <c r="C171" s="81">
        <f>(C162/C161)*C170</f>
        <v>-2348237.90500014</v>
      </c>
      <c r="D171" s="81">
        <f t="shared" ref="D171:M171" si="94">(D162/D161)*D170</f>
        <v>-3045146.1288751788</v>
      </c>
      <c r="E171" s="81">
        <f t="shared" si="94"/>
        <v>-3180232.5543753137</v>
      </c>
      <c r="F171" s="81">
        <f t="shared" si="94"/>
        <v>-3320486.1571416161</v>
      </c>
      <c r="G171" s="81">
        <f t="shared" si="94"/>
        <v>-3466084.5985622979</v>
      </c>
      <c r="H171" s="81">
        <f t="shared" si="94"/>
        <v>-3617411.6464048643</v>
      </c>
      <c r="I171" s="81">
        <f t="shared" si="94"/>
        <v>-3774712.2772724032</v>
      </c>
      <c r="J171" s="81">
        <f t="shared" si="94"/>
        <v>-3941676.5982635766</v>
      </c>
      <c r="K171" s="81">
        <f t="shared" si="94"/>
        <v>-4114981.9565817029</v>
      </c>
      <c r="L171" s="81">
        <f t="shared" si="94"/>
        <v>-4294912.5015948564</v>
      </c>
      <c r="M171" s="81">
        <f t="shared" si="94"/>
        <v>-4481677.8581560096</v>
      </c>
      <c r="O171" s="191"/>
    </row>
    <row r="172" spans="1:15" x14ac:dyDescent="0.25">
      <c r="A172" s="75" t="s">
        <v>624</v>
      </c>
      <c r="B172" s="77"/>
      <c r="C172" s="80">
        <f>C161+C164+C165+C166+C170</f>
        <v>315753519.54388475</v>
      </c>
      <c r="D172" s="80">
        <f t="shared" ref="D172:L172" si="95">D161+D164+D165+D166+D170</f>
        <v>325507894.81815487</v>
      </c>
      <c r="E172" s="80">
        <f t="shared" si="95"/>
        <v>335570766.7581948</v>
      </c>
      <c r="F172" s="80">
        <f t="shared" si="95"/>
        <v>346153750.31434411</v>
      </c>
      <c r="G172" s="80">
        <f t="shared" si="95"/>
        <v>357237934.42952609</v>
      </c>
      <c r="H172" s="80">
        <f t="shared" si="95"/>
        <v>368536933.38657433</v>
      </c>
      <c r="I172" s="80">
        <f t="shared" si="95"/>
        <v>379557233.12930346</v>
      </c>
      <c r="J172" s="80">
        <f t="shared" si="95"/>
        <v>391193013.94117945</v>
      </c>
      <c r="K172" s="80">
        <f t="shared" si="95"/>
        <v>403060843.7157408</v>
      </c>
      <c r="L172" s="80">
        <f t="shared" si="95"/>
        <v>414667738.58424896</v>
      </c>
      <c r="M172" s="80">
        <f>M161+M164+M165+M166+M170</f>
        <v>427308425.08520204</v>
      </c>
      <c r="O172" s="191"/>
    </row>
    <row r="173" spans="1:15" x14ac:dyDescent="0.25">
      <c r="A173" s="75" t="s">
        <v>625</v>
      </c>
      <c r="B173" s="77"/>
      <c r="C173" s="80">
        <f>C162+C167+C169+C171</f>
        <v>-121805845.15500714</v>
      </c>
      <c r="D173" s="80">
        <f t="shared" ref="D173:M173" si="96">D162+D167+D169+D171</f>
        <v>-127209302.17501256</v>
      </c>
      <c r="E173" s="80">
        <f t="shared" si="96"/>
        <v>-132819446.28566465</v>
      </c>
      <c r="F173" s="80">
        <f t="shared" si="96"/>
        <v>-138643383.94249192</v>
      </c>
      <c r="G173" s="80">
        <f t="shared" si="96"/>
        <v>-144696465.85619456</v>
      </c>
      <c r="H173" s="80">
        <f t="shared" si="96"/>
        <v>-150988491.09089613</v>
      </c>
      <c r="I173" s="80">
        <f t="shared" si="96"/>
        <v>-157667063.93054307</v>
      </c>
      <c r="J173" s="80">
        <f t="shared" si="96"/>
        <v>-164599278.26326811</v>
      </c>
      <c r="K173" s="80">
        <f t="shared" si="96"/>
        <v>-171796500.06379426</v>
      </c>
      <c r="L173" s="80">
        <f t="shared" si="96"/>
        <v>-179267114.32624036</v>
      </c>
      <c r="M173" s="80">
        <f t="shared" si="96"/>
        <v>-187015519.18100178</v>
      </c>
      <c r="O173" s="191"/>
    </row>
    <row r="174" spans="1:15" x14ac:dyDescent="0.25">
      <c r="A174" s="75" t="s">
        <v>626</v>
      </c>
      <c r="B174" s="77"/>
      <c r="C174" s="80">
        <f>C172+C173</f>
        <v>193947674.38887763</v>
      </c>
      <c r="D174" s="80">
        <f t="shared" ref="D174:M174" si="97">D172+D173</f>
        <v>198298592.64314231</v>
      </c>
      <c r="E174" s="80">
        <f t="shared" si="97"/>
        <v>202751320.47253016</v>
      </c>
      <c r="F174" s="80">
        <f t="shared" si="97"/>
        <v>207510366.37185219</v>
      </c>
      <c r="G174" s="80">
        <f t="shared" si="97"/>
        <v>212541468.57333153</v>
      </c>
      <c r="H174" s="80">
        <f t="shared" si="97"/>
        <v>217548442.2956782</v>
      </c>
      <c r="I174" s="80">
        <f t="shared" si="97"/>
        <v>221890169.19876039</v>
      </c>
      <c r="J174" s="80">
        <f t="shared" si="97"/>
        <v>226593735.67791134</v>
      </c>
      <c r="K174" s="80">
        <f t="shared" si="97"/>
        <v>231264343.65194654</v>
      </c>
      <c r="L174" s="80">
        <f t="shared" si="97"/>
        <v>235400624.2580086</v>
      </c>
      <c r="M174" s="80">
        <f t="shared" si="97"/>
        <v>240292905.90420026</v>
      </c>
      <c r="O174" s="191"/>
    </row>
    <row r="175" spans="1:15" x14ac:dyDescent="0.25">
      <c r="O175" s="191"/>
    </row>
    <row r="176" spans="1:15" x14ac:dyDescent="0.25">
      <c r="A176" s="64" t="s">
        <v>677</v>
      </c>
      <c r="B176" s="6"/>
      <c r="O176" s="191"/>
    </row>
    <row r="177" spans="1:15" x14ac:dyDescent="0.25">
      <c r="A177" s="75" t="s">
        <v>617</v>
      </c>
      <c r="B177" s="77"/>
      <c r="C177" s="80">
        <v>3884050.42</v>
      </c>
      <c r="D177" s="80">
        <f>C188</f>
        <v>3961731.4284000001</v>
      </c>
      <c r="E177" s="80">
        <f t="shared" ref="E177:M179" si="98">D188</f>
        <v>4060774.7141100001</v>
      </c>
      <c r="F177" s="80">
        <f t="shared" si="98"/>
        <v>4162294.0819627503</v>
      </c>
      <c r="G177" s="80">
        <f t="shared" si="98"/>
        <v>4266351.4340118188</v>
      </c>
      <c r="H177" s="80">
        <f t="shared" si="98"/>
        <v>4373010.2198621146</v>
      </c>
      <c r="I177" s="80">
        <f t="shared" si="98"/>
        <v>4482335.4753586678</v>
      </c>
      <c r="J177" s="80">
        <f t="shared" si="98"/>
        <v>4594393.8622426344</v>
      </c>
      <c r="K177" s="80">
        <f t="shared" si="98"/>
        <v>4709253.7087987</v>
      </c>
      <c r="L177" s="80">
        <f t="shared" si="98"/>
        <v>4826985.0515186675</v>
      </c>
      <c r="M177" s="80">
        <f t="shared" si="98"/>
        <v>4947659.6778066345</v>
      </c>
      <c r="O177" s="191"/>
    </row>
    <row r="178" spans="1:15" x14ac:dyDescent="0.25">
      <c r="A178" s="75" t="s">
        <v>618</v>
      </c>
      <c r="B178" s="77"/>
      <c r="C178" s="80">
        <v>-2058680.04</v>
      </c>
      <c r="D178" s="80">
        <f t="shared" ref="D178:D179" si="99">C189</f>
        <v>-2150678.6408000002</v>
      </c>
      <c r="E178" s="80">
        <f t="shared" si="98"/>
        <v>-2255155.7691035205</v>
      </c>
      <c r="F178" s="80">
        <f t="shared" si="98"/>
        <v>-2363512.5796717168</v>
      </c>
      <c r="G178" s="80">
        <f t="shared" si="98"/>
        <v>-2475877.7584126331</v>
      </c>
      <c r="H178" s="80">
        <f t="shared" si="98"/>
        <v>-2592384.0007283003</v>
      </c>
      <c r="I178" s="80">
        <f t="shared" si="98"/>
        <v>-2713168.1315607429</v>
      </c>
      <c r="J178" s="80">
        <f t="shared" si="98"/>
        <v>-2838371.2289343523</v>
      </c>
      <c r="K178" s="80">
        <f t="shared" si="98"/>
        <v>-2968138.7510944172</v>
      </c>
      <c r="L178" s="80">
        <f t="shared" si="98"/>
        <v>-3102620.6673444011</v>
      </c>
      <c r="M178" s="80">
        <f t="shared" si="98"/>
        <v>-3241971.5926874503</v>
      </c>
      <c r="O178" s="191"/>
    </row>
    <row r="179" spans="1:15" x14ac:dyDescent="0.25">
      <c r="A179" s="75" t="s">
        <v>619</v>
      </c>
      <c r="B179" s="77"/>
      <c r="C179" s="80">
        <f>C177+C178</f>
        <v>1825370.38</v>
      </c>
      <c r="D179" s="80">
        <f t="shared" si="99"/>
        <v>1811052.7875999999</v>
      </c>
      <c r="E179" s="80">
        <f t="shared" si="98"/>
        <v>1805618.9450064795</v>
      </c>
      <c r="F179" s="80">
        <f t="shared" si="98"/>
        <v>1798781.5022910335</v>
      </c>
      <c r="G179" s="80">
        <f t="shared" si="98"/>
        <v>1790473.6755991857</v>
      </c>
      <c r="H179" s="80">
        <f t="shared" si="98"/>
        <v>1780626.2191338143</v>
      </c>
      <c r="I179" s="80">
        <f t="shared" si="98"/>
        <v>1769167.3437979249</v>
      </c>
      <c r="J179" s="80">
        <f t="shared" si="98"/>
        <v>1756022.6333082821</v>
      </c>
      <c r="K179" s="80">
        <f t="shared" si="98"/>
        <v>1741114.9577042828</v>
      </c>
      <c r="L179" s="80">
        <f t="shared" si="98"/>
        <v>1724364.3841742664</v>
      </c>
      <c r="M179" s="80">
        <f t="shared" si="98"/>
        <v>1705688.0851191841</v>
      </c>
      <c r="O179" s="191"/>
    </row>
    <row r="180" spans="1:15" s="44" customFormat="1" x14ac:dyDescent="0.25">
      <c r="A180" s="76" t="s">
        <v>1165</v>
      </c>
      <c r="B180" s="78"/>
      <c r="C180" s="81">
        <f>'Capital Works'!D92</f>
        <v>0</v>
      </c>
      <c r="D180" s="81">
        <f>'Capital Works'!E92</f>
        <v>0</v>
      </c>
      <c r="E180" s="81">
        <f>'Capital Works'!F92</f>
        <v>0</v>
      </c>
      <c r="F180" s="81">
        <f>'Capital Works'!G92</f>
        <v>0</v>
      </c>
      <c r="G180" s="81">
        <f>'Capital Works'!H92</f>
        <v>0</v>
      </c>
      <c r="H180" s="81">
        <f>'Capital Works'!I92</f>
        <v>0</v>
      </c>
      <c r="I180" s="81">
        <f>'Capital Works'!J92</f>
        <v>0</v>
      </c>
      <c r="J180" s="81">
        <f>'Capital Works'!K92</f>
        <v>0</v>
      </c>
      <c r="K180" s="81">
        <f>'Capital Works'!L92</f>
        <v>0</v>
      </c>
      <c r="L180" s="81">
        <f>'Capital Works'!M92</f>
        <v>0</v>
      </c>
      <c r="M180" s="81">
        <f>'Capital Works'!N92</f>
        <v>0</v>
      </c>
      <c r="O180" s="191"/>
    </row>
    <row r="181" spans="1:15" x14ac:dyDescent="0.25">
      <c r="A181" s="76" t="s">
        <v>1164</v>
      </c>
      <c r="B181" s="78"/>
      <c r="C181" s="81">
        <f>'Capital Works'!D93</f>
        <v>0</v>
      </c>
      <c r="D181" s="81">
        <f>'Capital Works'!E93</f>
        <v>0</v>
      </c>
      <c r="E181" s="81">
        <f>'Capital Works'!F93</f>
        <v>0</v>
      </c>
      <c r="F181" s="81">
        <f>'Capital Works'!G93</f>
        <v>0</v>
      </c>
      <c r="G181" s="81">
        <f>'Capital Works'!H93</f>
        <v>0</v>
      </c>
      <c r="H181" s="81">
        <f>'Capital Works'!I93</f>
        <v>0</v>
      </c>
      <c r="I181" s="81">
        <f>'Capital Works'!J93</f>
        <v>0</v>
      </c>
      <c r="J181" s="81">
        <f>'Capital Works'!K93</f>
        <v>0</v>
      </c>
      <c r="K181" s="81">
        <f>'Capital Works'!L93</f>
        <v>0</v>
      </c>
      <c r="L181" s="81">
        <f>'Capital Works'!M93</f>
        <v>0</v>
      </c>
      <c r="M181" s="81">
        <f>'Capital Works'!N93</f>
        <v>0</v>
      </c>
      <c r="O181" s="191"/>
    </row>
    <row r="182" spans="1:15" x14ac:dyDescent="0.25">
      <c r="A182" s="76" t="s">
        <v>620</v>
      </c>
      <c r="B182" s="78"/>
      <c r="C182" s="81">
        <f>-C181*0.2</f>
        <v>0</v>
      </c>
      <c r="D182" s="81">
        <f t="shared" ref="D182:M182" si="100">-D181*0.2</f>
        <v>0</v>
      </c>
      <c r="E182" s="81">
        <f t="shared" si="100"/>
        <v>0</v>
      </c>
      <c r="F182" s="81">
        <f t="shared" si="100"/>
        <v>0</v>
      </c>
      <c r="G182" s="81">
        <f t="shared" si="100"/>
        <v>0</v>
      </c>
      <c r="H182" s="81">
        <f t="shared" si="100"/>
        <v>0</v>
      </c>
      <c r="I182" s="81">
        <f t="shared" si="100"/>
        <v>0</v>
      </c>
      <c r="J182" s="81">
        <f t="shared" si="100"/>
        <v>0</v>
      </c>
      <c r="K182" s="81">
        <f t="shared" si="100"/>
        <v>0</v>
      </c>
      <c r="L182" s="81">
        <f t="shared" si="100"/>
        <v>0</v>
      </c>
      <c r="M182" s="81">
        <f t="shared" si="100"/>
        <v>0</v>
      </c>
      <c r="O182" s="191"/>
    </row>
    <row r="183" spans="1:15" x14ac:dyDescent="0.25">
      <c r="A183" s="76" t="s">
        <v>621</v>
      </c>
      <c r="B183" s="78"/>
      <c r="C183" s="81">
        <f>-C182*0.7</f>
        <v>0</v>
      </c>
      <c r="D183" s="81">
        <f t="shared" ref="D183:M183" si="101">-D182*0.7</f>
        <v>0</v>
      </c>
      <c r="E183" s="81">
        <f t="shared" si="101"/>
        <v>0</v>
      </c>
      <c r="F183" s="81">
        <f t="shared" si="101"/>
        <v>0</v>
      </c>
      <c r="G183" s="81">
        <f t="shared" si="101"/>
        <v>0</v>
      </c>
      <c r="H183" s="81">
        <f t="shared" si="101"/>
        <v>0</v>
      </c>
      <c r="I183" s="81">
        <f t="shared" si="101"/>
        <v>0</v>
      </c>
      <c r="J183" s="81">
        <f t="shared" si="101"/>
        <v>0</v>
      </c>
      <c r="K183" s="81">
        <f t="shared" si="101"/>
        <v>0</v>
      </c>
      <c r="L183" s="81">
        <f t="shared" si="101"/>
        <v>0</v>
      </c>
      <c r="M183" s="81">
        <f t="shared" si="101"/>
        <v>0</v>
      </c>
      <c r="O183" s="191"/>
    </row>
    <row r="184" spans="1:15" x14ac:dyDescent="0.25">
      <c r="A184" s="76" t="s">
        <v>622</v>
      </c>
      <c r="B184" s="78"/>
      <c r="C184" s="81">
        <f>C182+C183</f>
        <v>0</v>
      </c>
      <c r="D184" s="81">
        <f t="shared" ref="D184:M184" si="102">D182+D183</f>
        <v>0</v>
      </c>
      <c r="E184" s="81">
        <f t="shared" si="102"/>
        <v>0</v>
      </c>
      <c r="F184" s="81">
        <f t="shared" si="102"/>
        <v>0</v>
      </c>
      <c r="G184" s="81">
        <f t="shared" si="102"/>
        <v>0</v>
      </c>
      <c r="H184" s="81">
        <f t="shared" si="102"/>
        <v>0</v>
      </c>
      <c r="I184" s="81">
        <f t="shared" si="102"/>
        <v>0</v>
      </c>
      <c r="J184" s="81">
        <f t="shared" si="102"/>
        <v>0</v>
      </c>
      <c r="K184" s="81">
        <f t="shared" si="102"/>
        <v>0</v>
      </c>
      <c r="L184" s="81">
        <f t="shared" si="102"/>
        <v>0</v>
      </c>
      <c r="M184" s="81">
        <f t="shared" si="102"/>
        <v>0</v>
      </c>
      <c r="O184" s="191"/>
    </row>
    <row r="185" spans="1:15" x14ac:dyDescent="0.25">
      <c r="A185" s="76" t="s">
        <v>623</v>
      </c>
      <c r="B185" s="90">
        <v>1.2800000000000001E-2</v>
      </c>
      <c r="C185" s="81">
        <f>-TB!D79</f>
        <v>-50825</v>
      </c>
      <c r="D185" s="81">
        <f>-D177*$B$185</f>
        <v>-50710.162283520003</v>
      </c>
      <c r="E185" s="81">
        <f t="shared" ref="E185:M185" si="103">-E177*$B$185</f>
        <v>-51977.916340608004</v>
      </c>
      <c r="F185" s="81">
        <f t="shared" si="103"/>
        <v>-53277.364249123209</v>
      </c>
      <c r="G185" s="81">
        <f t="shared" si="103"/>
        <v>-54609.298355351282</v>
      </c>
      <c r="H185" s="81">
        <f t="shared" si="103"/>
        <v>-55974.53081423507</v>
      </c>
      <c r="I185" s="81">
        <f t="shared" si="103"/>
        <v>-57373.894084590953</v>
      </c>
      <c r="J185" s="81">
        <f t="shared" si="103"/>
        <v>-58808.241436705721</v>
      </c>
      <c r="K185" s="81">
        <f t="shared" si="103"/>
        <v>-60278.44747262336</v>
      </c>
      <c r="L185" s="81">
        <f t="shared" si="103"/>
        <v>-61785.408659438945</v>
      </c>
      <c r="M185" s="81">
        <f t="shared" si="103"/>
        <v>-63330.043875924923</v>
      </c>
      <c r="O185" s="191"/>
    </row>
    <row r="186" spans="1:15" x14ac:dyDescent="0.25">
      <c r="A186" s="76" t="s">
        <v>1186</v>
      </c>
      <c r="B186" s="90"/>
      <c r="C186" s="81">
        <f>C177*Assumptions!B64</f>
        <v>77681.008400000006</v>
      </c>
      <c r="D186" s="81">
        <f>D177*Assumptions!C64</f>
        <v>99043.285710000011</v>
      </c>
      <c r="E186" s="81">
        <f>E177*Assumptions!D64</f>
        <v>101519.36785275</v>
      </c>
      <c r="F186" s="81">
        <f>F177*Assumptions!E64</f>
        <v>104057.35204906877</v>
      </c>
      <c r="G186" s="81">
        <f>G177*Assumptions!F64</f>
        <v>106658.78585029548</v>
      </c>
      <c r="H186" s="81">
        <f>H177*Assumptions!G64</f>
        <v>109325.25549655287</v>
      </c>
      <c r="I186" s="81">
        <f>I177*Assumptions!H64</f>
        <v>112058.3868839667</v>
      </c>
      <c r="J186" s="81">
        <f>J177*Assumptions!I64</f>
        <v>114859.84655606587</v>
      </c>
      <c r="K186" s="81">
        <f>K177*Assumptions!J64</f>
        <v>117731.34271996751</v>
      </c>
      <c r="L186" s="81">
        <f>L177*Assumptions!K64</f>
        <v>120674.62628796669</v>
      </c>
      <c r="M186" s="81">
        <f>M177*Assumptions!L64</f>
        <v>123691.49194516586</v>
      </c>
      <c r="O186" s="191"/>
    </row>
    <row r="187" spans="1:15" s="44" customFormat="1" x14ac:dyDescent="0.25">
      <c r="A187" s="76" t="s">
        <v>1185</v>
      </c>
      <c r="B187" s="90"/>
      <c r="C187" s="81">
        <f>(C178/C177)*C186</f>
        <v>-41173.600800000007</v>
      </c>
      <c r="D187" s="81">
        <f t="shared" ref="D187:M187" si="104">(D178/D177)*D186</f>
        <v>-53766.966020000007</v>
      </c>
      <c r="E187" s="81">
        <f t="shared" si="104"/>
        <v>-56378.894227588018</v>
      </c>
      <c r="F187" s="81">
        <f t="shared" si="104"/>
        <v>-59087.814491792924</v>
      </c>
      <c r="G187" s="81">
        <f t="shared" si="104"/>
        <v>-61896.943960315824</v>
      </c>
      <c r="H187" s="81">
        <f t="shared" si="104"/>
        <v>-64809.600018207508</v>
      </c>
      <c r="I187" s="81">
        <f t="shared" si="104"/>
        <v>-67829.20328901858</v>
      </c>
      <c r="J187" s="81">
        <f t="shared" si="104"/>
        <v>-70959.28072335881</v>
      </c>
      <c r="K187" s="81">
        <f t="shared" si="104"/>
        <v>-74203.468777360424</v>
      </c>
      <c r="L187" s="81">
        <f t="shared" si="104"/>
        <v>-77565.51668361004</v>
      </c>
      <c r="M187" s="81">
        <f t="shared" si="104"/>
        <v>-81049.289817186262</v>
      </c>
      <c r="O187" s="191"/>
    </row>
    <row r="188" spans="1:15" x14ac:dyDescent="0.25">
      <c r="A188" s="75" t="s">
        <v>624</v>
      </c>
      <c r="B188" s="77"/>
      <c r="C188" s="80">
        <f>C177+C180+C181+C182+C186</f>
        <v>3961731.4284000001</v>
      </c>
      <c r="D188" s="80">
        <f t="shared" ref="D188:M188" si="105">D177+D180+D181+D182+D186</f>
        <v>4060774.7141100001</v>
      </c>
      <c r="E188" s="80">
        <f t="shared" si="105"/>
        <v>4162294.0819627503</v>
      </c>
      <c r="F188" s="80">
        <f t="shared" si="105"/>
        <v>4266351.4340118188</v>
      </c>
      <c r="G188" s="80">
        <f t="shared" si="105"/>
        <v>4373010.2198621146</v>
      </c>
      <c r="H188" s="80">
        <f t="shared" si="105"/>
        <v>4482335.4753586678</v>
      </c>
      <c r="I188" s="80">
        <f t="shared" si="105"/>
        <v>4594393.8622426344</v>
      </c>
      <c r="J188" s="80">
        <f t="shared" si="105"/>
        <v>4709253.7087987</v>
      </c>
      <c r="K188" s="80">
        <f t="shared" si="105"/>
        <v>4826985.0515186675</v>
      </c>
      <c r="L188" s="80">
        <f t="shared" si="105"/>
        <v>4947659.6778066345</v>
      </c>
      <c r="M188" s="80">
        <f t="shared" si="105"/>
        <v>5071351.1697518006</v>
      </c>
      <c r="O188" s="191"/>
    </row>
    <row r="189" spans="1:15" x14ac:dyDescent="0.25">
      <c r="A189" s="75" t="s">
        <v>625</v>
      </c>
      <c r="B189" s="77"/>
      <c r="C189" s="80">
        <f>C178+C183+C185+C187</f>
        <v>-2150678.6408000002</v>
      </c>
      <c r="D189" s="80">
        <f t="shared" ref="D189:M189" si="106">D178+D183+D185+D187</f>
        <v>-2255155.7691035205</v>
      </c>
      <c r="E189" s="80">
        <f t="shared" si="106"/>
        <v>-2363512.5796717168</v>
      </c>
      <c r="F189" s="80">
        <f t="shared" si="106"/>
        <v>-2475877.7584126331</v>
      </c>
      <c r="G189" s="80">
        <f t="shared" si="106"/>
        <v>-2592384.0007283003</v>
      </c>
      <c r="H189" s="80">
        <f t="shared" si="106"/>
        <v>-2713168.1315607429</v>
      </c>
      <c r="I189" s="80">
        <f t="shared" si="106"/>
        <v>-2838371.2289343523</v>
      </c>
      <c r="J189" s="80">
        <f t="shared" si="106"/>
        <v>-2968138.7510944172</v>
      </c>
      <c r="K189" s="80">
        <f t="shared" si="106"/>
        <v>-3102620.6673444011</v>
      </c>
      <c r="L189" s="80">
        <f t="shared" si="106"/>
        <v>-3241971.5926874503</v>
      </c>
      <c r="M189" s="80">
        <f t="shared" si="106"/>
        <v>-3386350.9263805612</v>
      </c>
      <c r="O189" s="191"/>
    </row>
    <row r="190" spans="1:15" x14ac:dyDescent="0.25">
      <c r="A190" s="75" t="s">
        <v>626</v>
      </c>
      <c r="B190" s="77"/>
      <c r="C190" s="80">
        <f>C188+C189</f>
        <v>1811052.7875999999</v>
      </c>
      <c r="D190" s="80">
        <f t="shared" ref="D190:M190" si="107">D188+D189</f>
        <v>1805618.9450064795</v>
      </c>
      <c r="E190" s="80">
        <f t="shared" si="107"/>
        <v>1798781.5022910335</v>
      </c>
      <c r="F190" s="80">
        <f t="shared" si="107"/>
        <v>1790473.6755991857</v>
      </c>
      <c r="G190" s="80">
        <f t="shared" si="107"/>
        <v>1780626.2191338143</v>
      </c>
      <c r="H190" s="80">
        <f t="shared" si="107"/>
        <v>1769167.3437979249</v>
      </c>
      <c r="I190" s="80">
        <f t="shared" si="107"/>
        <v>1756022.6333082821</v>
      </c>
      <c r="J190" s="80">
        <f t="shared" si="107"/>
        <v>1741114.9577042828</v>
      </c>
      <c r="K190" s="80">
        <f t="shared" si="107"/>
        <v>1724364.3841742664</v>
      </c>
      <c r="L190" s="80">
        <f t="shared" si="107"/>
        <v>1705688.0851191841</v>
      </c>
      <c r="M190" s="80">
        <f t="shared" si="107"/>
        <v>1685000.2433712394</v>
      </c>
      <c r="O190" s="191"/>
    </row>
    <row r="191" spans="1:15" x14ac:dyDescent="0.25">
      <c r="O191" s="191"/>
    </row>
    <row r="192" spans="1:15" x14ac:dyDescent="0.25">
      <c r="A192" s="64" t="s">
        <v>679</v>
      </c>
      <c r="B192" s="6"/>
      <c r="O192" s="191"/>
    </row>
    <row r="193" spans="1:15" x14ac:dyDescent="0.25">
      <c r="A193" s="75" t="s">
        <v>617</v>
      </c>
      <c r="B193" s="77"/>
      <c r="C193" s="80">
        <v>99033743.816500098</v>
      </c>
      <c r="D193" s="80">
        <f>C204</f>
        <v>104936018.6928301</v>
      </c>
      <c r="E193" s="80">
        <f t="shared" ref="E193:M195" si="108">D204</f>
        <v>112137555.06929046</v>
      </c>
      <c r="F193" s="80">
        <f t="shared" si="108"/>
        <v>119325019.39134897</v>
      </c>
      <c r="G193" s="80">
        <f t="shared" si="108"/>
        <v>128010490.62211865</v>
      </c>
      <c r="H193" s="80">
        <f t="shared" si="108"/>
        <v>137054309.44557685</v>
      </c>
      <c r="I193" s="80">
        <f t="shared" si="108"/>
        <v>146469614.93188858</v>
      </c>
      <c r="J193" s="80">
        <f t="shared" si="108"/>
        <v>155469995.31967244</v>
      </c>
      <c r="K193" s="80">
        <f t="shared" si="108"/>
        <v>165349502.66558731</v>
      </c>
      <c r="L193" s="80">
        <f t="shared" si="108"/>
        <v>175634667.95571381</v>
      </c>
      <c r="M193" s="80">
        <f t="shared" si="108"/>
        <v>185840316.69291461</v>
      </c>
      <c r="O193" s="191"/>
    </row>
    <row r="194" spans="1:15" x14ac:dyDescent="0.25">
      <c r="A194" s="75" t="s">
        <v>618</v>
      </c>
      <c r="B194" s="77"/>
      <c r="C194" s="80">
        <v>-25120521.149999999</v>
      </c>
      <c r="D194" s="80">
        <f t="shared" ref="D194:D195" si="109">C205</f>
        <v>-26755528.572999999</v>
      </c>
      <c r="E194" s="80">
        <f t="shared" si="108"/>
        <v>-28791963.377082173</v>
      </c>
      <c r="F194" s="80">
        <f t="shared" si="108"/>
        <v>-30987309.10996294</v>
      </c>
      <c r="G194" s="80">
        <f t="shared" si="108"/>
        <v>-33203081.719991449</v>
      </c>
      <c r="H194" s="80">
        <f t="shared" si="108"/>
        <v>-35623246.177800193</v>
      </c>
      <c r="I194" s="80">
        <f t="shared" si="108"/>
        <v>-38259347.66487658</v>
      </c>
      <c r="J194" s="80">
        <f t="shared" si="108"/>
        <v>-41263461.652601101</v>
      </c>
      <c r="K194" s="80">
        <f t="shared" si="108"/>
        <v>-44495715.544298038</v>
      </c>
      <c r="L194" s="80">
        <f t="shared" si="108"/>
        <v>-47978598.634607039</v>
      </c>
      <c r="M194" s="80">
        <f t="shared" si="108"/>
        <v>-51725670.102882594</v>
      </c>
      <c r="O194" s="191"/>
    </row>
    <row r="195" spans="1:15" x14ac:dyDescent="0.25">
      <c r="A195" s="75" t="s">
        <v>619</v>
      </c>
      <c r="B195" s="77"/>
      <c r="C195" s="80">
        <f>C193+C194</f>
        <v>73913222.666500092</v>
      </c>
      <c r="D195" s="80">
        <f t="shared" si="109"/>
        <v>78180490.119830102</v>
      </c>
      <c r="E195" s="80">
        <f t="shared" si="108"/>
        <v>83345591.69220829</v>
      </c>
      <c r="F195" s="80">
        <f t="shared" si="108"/>
        <v>88337710.281386033</v>
      </c>
      <c r="G195" s="80">
        <f t="shared" si="108"/>
        <v>94807408.902127206</v>
      </c>
      <c r="H195" s="80">
        <f t="shared" si="108"/>
        <v>101431063.26777665</v>
      </c>
      <c r="I195" s="80">
        <f t="shared" si="108"/>
        <v>108210267.267012</v>
      </c>
      <c r="J195" s="80">
        <f t="shared" si="108"/>
        <v>114206533.66707134</v>
      </c>
      <c r="K195" s="80">
        <f t="shared" si="108"/>
        <v>120853787.12128927</v>
      </c>
      <c r="L195" s="80">
        <f t="shared" si="108"/>
        <v>127656069.32110676</v>
      </c>
      <c r="M195" s="80">
        <f t="shared" si="108"/>
        <v>134114646.59003201</v>
      </c>
      <c r="O195" s="191"/>
    </row>
    <row r="196" spans="1:15" s="44" customFormat="1" x14ac:dyDescent="0.25">
      <c r="A196" s="76" t="s">
        <v>1165</v>
      </c>
      <c r="B196" s="78"/>
      <c r="C196" s="81">
        <f>'Capital Works'!D105</f>
        <v>0</v>
      </c>
      <c r="D196" s="81">
        <f>'Capital Works'!E105</f>
        <v>400000</v>
      </c>
      <c r="E196" s="81">
        <f>'Capital Works'!F105</f>
        <v>0</v>
      </c>
      <c r="F196" s="81">
        <f>'Capital Works'!G105</f>
        <v>300000</v>
      </c>
      <c r="G196" s="81">
        <f>'Capital Works'!H105</f>
        <v>300000</v>
      </c>
      <c r="H196" s="81">
        <f>'Capital Works'!I105</f>
        <v>300000</v>
      </c>
      <c r="I196" s="81">
        <f>'Capital Works'!J105</f>
        <v>300000</v>
      </c>
      <c r="J196" s="81">
        <f>'Capital Works'!K105</f>
        <v>800000</v>
      </c>
      <c r="K196" s="81">
        <f>'Capital Works'!L105</f>
        <v>800000</v>
      </c>
      <c r="L196" s="81">
        <f>'Capital Works'!M105</f>
        <v>300000</v>
      </c>
      <c r="M196" s="81">
        <f>'Capital Works'!N105</f>
        <v>800000</v>
      </c>
      <c r="O196" s="191"/>
    </row>
    <row r="197" spans="1:15" x14ac:dyDescent="0.25">
      <c r="A197" s="76" t="s">
        <v>1164</v>
      </c>
      <c r="B197" s="78"/>
      <c r="C197" s="81">
        <f>'Capital Works'!D106</f>
        <v>4902000</v>
      </c>
      <c r="D197" s="81">
        <f>'Capital Works'!E106</f>
        <v>5222669.8864245117</v>
      </c>
      <c r="E197" s="81">
        <f>'Capital Works'!F106</f>
        <v>5480031.8066578237</v>
      </c>
      <c r="F197" s="81">
        <f>'Capital Works'!G106</f>
        <v>6752932.1824824372</v>
      </c>
      <c r="G197" s="81">
        <f>'Capital Works'!H106</f>
        <v>6929445.6973815523</v>
      </c>
      <c r="H197" s="81">
        <f>'Capital Works'!I106</f>
        <v>7111184.6877154121</v>
      </c>
      <c r="I197" s="81">
        <f>'Capital Works'!J106</f>
        <v>6298300.0181083092</v>
      </c>
      <c r="J197" s="81">
        <f>'Capital Works'!K106</f>
        <v>6490946.8286538105</v>
      </c>
      <c r="K197" s="81">
        <f>'Capital Works'!L106</f>
        <v>6689284.654358509</v>
      </c>
      <c r="L197" s="81">
        <f>'Capital Works'!M106</f>
        <v>6893477.5478849374</v>
      </c>
      <c r="M197" s="81">
        <f>'Capital Works'!N106</f>
        <v>7103694.2056839112</v>
      </c>
      <c r="O197" s="191"/>
    </row>
    <row r="198" spans="1:15" x14ac:dyDescent="0.25">
      <c r="A198" s="76" t="s">
        <v>620</v>
      </c>
      <c r="B198" s="78"/>
      <c r="C198" s="81">
        <f>-C197*0.2</f>
        <v>-980400</v>
      </c>
      <c r="D198" s="81">
        <f>-D197*0.2</f>
        <v>-1044533.9772849024</v>
      </c>
      <c r="E198" s="81">
        <f t="shared" ref="E198:M198" si="110">-E197*0.2</f>
        <v>-1096006.3613315648</v>
      </c>
      <c r="F198" s="81">
        <f t="shared" si="110"/>
        <v>-1350586.4364964876</v>
      </c>
      <c r="G198" s="81">
        <f t="shared" si="110"/>
        <v>-1385889.1394763105</v>
      </c>
      <c r="H198" s="81">
        <f t="shared" si="110"/>
        <v>-1422236.9375430825</v>
      </c>
      <c r="I198" s="81">
        <f t="shared" si="110"/>
        <v>-1259660.003621662</v>
      </c>
      <c r="J198" s="81">
        <f t="shared" si="110"/>
        <v>-1298189.3657307622</v>
      </c>
      <c r="K198" s="81">
        <f t="shared" si="110"/>
        <v>-1337856.9308717018</v>
      </c>
      <c r="L198" s="81">
        <f t="shared" si="110"/>
        <v>-1378695.5095769875</v>
      </c>
      <c r="M198" s="81">
        <f t="shared" si="110"/>
        <v>-1420738.8411367824</v>
      </c>
      <c r="O198" s="191"/>
    </row>
    <row r="199" spans="1:15" x14ac:dyDescent="0.25">
      <c r="A199" s="76" t="s">
        <v>621</v>
      </c>
      <c r="B199" s="78"/>
      <c r="C199" s="81">
        <f>-C198*0.7</f>
        <v>686280</v>
      </c>
      <c r="D199" s="81">
        <f>-D198*0.7</f>
        <v>731173.78409943159</v>
      </c>
      <c r="E199" s="81">
        <f t="shared" ref="E199:M199" si="111">-E198*0.7</f>
        <v>767204.45293209539</v>
      </c>
      <c r="F199" s="81">
        <f t="shared" si="111"/>
        <v>945410.50554754119</v>
      </c>
      <c r="G199" s="81">
        <f t="shared" si="111"/>
        <v>970122.39763341728</v>
      </c>
      <c r="H199" s="81">
        <f t="shared" si="111"/>
        <v>995565.85628015769</v>
      </c>
      <c r="I199" s="81">
        <f t="shared" si="111"/>
        <v>881762.00253516342</v>
      </c>
      <c r="J199" s="81">
        <f t="shared" si="111"/>
        <v>908732.55601153348</v>
      </c>
      <c r="K199" s="81">
        <f t="shared" si="111"/>
        <v>936499.85161019117</v>
      </c>
      <c r="L199" s="81">
        <f t="shared" si="111"/>
        <v>965086.85670389119</v>
      </c>
      <c r="M199" s="81">
        <f t="shared" si="111"/>
        <v>994517.18879574758</v>
      </c>
      <c r="O199" s="191"/>
    </row>
    <row r="200" spans="1:15" x14ac:dyDescent="0.25">
      <c r="A200" s="76" t="s">
        <v>622</v>
      </c>
      <c r="B200" s="78"/>
      <c r="C200" s="81">
        <f>C198+C199</f>
        <v>-294120</v>
      </c>
      <c r="D200" s="81">
        <f>D198+D199</f>
        <v>-313360.19318547077</v>
      </c>
      <c r="E200" s="81">
        <f t="shared" ref="E200:M200" si="112">E198+E199</f>
        <v>-328801.90839946945</v>
      </c>
      <c r="F200" s="81">
        <f t="shared" si="112"/>
        <v>-405175.93094894639</v>
      </c>
      <c r="G200" s="81">
        <f t="shared" si="112"/>
        <v>-415766.74184289319</v>
      </c>
      <c r="H200" s="81">
        <f t="shared" si="112"/>
        <v>-426671.08126292482</v>
      </c>
      <c r="I200" s="81">
        <f t="shared" si="112"/>
        <v>-377898.00108649861</v>
      </c>
      <c r="J200" s="81">
        <f t="shared" si="112"/>
        <v>-389456.80971922877</v>
      </c>
      <c r="K200" s="81">
        <f t="shared" si="112"/>
        <v>-401357.07926151063</v>
      </c>
      <c r="L200" s="81">
        <f t="shared" si="112"/>
        <v>-413608.65287309629</v>
      </c>
      <c r="M200" s="81">
        <f t="shared" si="112"/>
        <v>-426221.65234103485</v>
      </c>
      <c r="O200" s="191"/>
    </row>
    <row r="201" spans="1:15" x14ac:dyDescent="0.25">
      <c r="A201" s="76" t="s">
        <v>623</v>
      </c>
      <c r="B201" s="90">
        <v>0.02</v>
      </c>
      <c r="C201" s="81">
        <f>-TB!D77</f>
        <v>-1818877</v>
      </c>
      <c r="D201" s="81">
        <f t="shared" ref="D201:M201" si="113">-D193*$B$201</f>
        <v>-2098720.3738566022</v>
      </c>
      <c r="E201" s="81">
        <f t="shared" si="113"/>
        <v>-2242751.101385809</v>
      </c>
      <c r="F201" s="81">
        <f t="shared" si="113"/>
        <v>-2386500.3878269796</v>
      </c>
      <c r="G201" s="81">
        <f t="shared" si="113"/>
        <v>-2560209.812442373</v>
      </c>
      <c r="H201" s="81">
        <f t="shared" si="113"/>
        <v>-2741086.1889115372</v>
      </c>
      <c r="I201" s="81">
        <f t="shared" si="113"/>
        <v>-2929392.2986377715</v>
      </c>
      <c r="J201" s="81">
        <f t="shared" si="113"/>
        <v>-3109399.9063934488</v>
      </c>
      <c r="K201" s="81">
        <f t="shared" si="113"/>
        <v>-3306990.0533117461</v>
      </c>
      <c r="L201" s="81">
        <f t="shared" si="113"/>
        <v>-3512693.3591142762</v>
      </c>
      <c r="M201" s="81">
        <f t="shared" si="113"/>
        <v>-3716806.3338582921</v>
      </c>
      <c r="O201" s="191"/>
    </row>
    <row r="202" spans="1:15" x14ac:dyDescent="0.25">
      <c r="A202" s="76" t="s">
        <v>1186</v>
      </c>
      <c r="B202" s="90"/>
      <c r="C202" s="81">
        <f>C193*Assumptions!B66</f>
        <v>1980674.876330002</v>
      </c>
      <c r="D202" s="81">
        <f>D193*Assumptions!C66</f>
        <v>2623400.4673207528</v>
      </c>
      <c r="E202" s="81">
        <f>E193*Assumptions!D66</f>
        <v>2803438.8767322619</v>
      </c>
      <c r="F202" s="81">
        <f>F193*Assumptions!E66</f>
        <v>2983125.4847837244</v>
      </c>
      <c r="G202" s="81">
        <f>G193*Assumptions!F66</f>
        <v>3200262.2655529664</v>
      </c>
      <c r="H202" s="81">
        <f>H193*Assumptions!G66</f>
        <v>3426357.7361394214</v>
      </c>
      <c r="I202" s="81">
        <f>I193*Assumptions!H66</f>
        <v>3661740.3732972145</v>
      </c>
      <c r="J202" s="81">
        <f>J193*Assumptions!I66</f>
        <v>3886749.8829918113</v>
      </c>
      <c r="K202" s="81">
        <f>K193*Assumptions!J66</f>
        <v>4133737.5666396827</v>
      </c>
      <c r="L202" s="81">
        <f>L193*Assumptions!K66</f>
        <v>4390866.6988928458</v>
      </c>
      <c r="M202" s="81">
        <f>M193*Assumptions!L66</f>
        <v>4646007.9173228657</v>
      </c>
      <c r="O202" s="191"/>
    </row>
    <row r="203" spans="1:15" s="44" customFormat="1" x14ac:dyDescent="0.25">
      <c r="A203" s="76" t="s">
        <v>1185</v>
      </c>
      <c r="B203" s="90"/>
      <c r="C203" s="81">
        <f>(C194/C193)*C202</f>
        <v>-502410.42299999995</v>
      </c>
      <c r="D203" s="81">
        <f t="shared" ref="D203:M203" si="114">(D194/D193)*D202</f>
        <v>-668888.21432500007</v>
      </c>
      <c r="E203" s="81">
        <f t="shared" si="114"/>
        <v>-719799.08442705439</v>
      </c>
      <c r="F203" s="81">
        <f t="shared" si="114"/>
        <v>-774682.72774907353</v>
      </c>
      <c r="G203" s="81">
        <f t="shared" si="114"/>
        <v>-830077.04299978621</v>
      </c>
      <c r="H203" s="81">
        <f t="shared" si="114"/>
        <v>-890581.15444500488</v>
      </c>
      <c r="I203" s="81">
        <f t="shared" si="114"/>
        <v>-956483.69162191451</v>
      </c>
      <c r="J203" s="81">
        <f t="shared" si="114"/>
        <v>-1031586.5413150276</v>
      </c>
      <c r="K203" s="81">
        <f t="shared" si="114"/>
        <v>-1112392.888607451</v>
      </c>
      <c r="L203" s="81">
        <f t="shared" si="114"/>
        <v>-1199464.9658651762</v>
      </c>
      <c r="M203" s="81">
        <f t="shared" si="114"/>
        <v>-1293141.7525720652</v>
      </c>
      <c r="O203" s="191"/>
    </row>
    <row r="204" spans="1:15" x14ac:dyDescent="0.25">
      <c r="A204" s="75" t="s">
        <v>624</v>
      </c>
      <c r="B204" s="77"/>
      <c r="C204" s="80">
        <f>C193+C196+C197+C198+C202</f>
        <v>104936018.6928301</v>
      </c>
      <c r="D204" s="80">
        <f t="shared" ref="D204:M204" si="115">D193+D196+D197+D198+D202</f>
        <v>112137555.06929046</v>
      </c>
      <c r="E204" s="80">
        <f t="shared" si="115"/>
        <v>119325019.39134897</v>
      </c>
      <c r="F204" s="80">
        <f t="shared" si="115"/>
        <v>128010490.62211865</v>
      </c>
      <c r="G204" s="80">
        <f t="shared" si="115"/>
        <v>137054309.44557685</v>
      </c>
      <c r="H204" s="80">
        <f t="shared" si="115"/>
        <v>146469614.93188858</v>
      </c>
      <c r="I204" s="80">
        <f t="shared" si="115"/>
        <v>155469995.31967244</v>
      </c>
      <c r="J204" s="80">
        <f t="shared" si="115"/>
        <v>165349502.66558731</v>
      </c>
      <c r="K204" s="80">
        <f t="shared" si="115"/>
        <v>175634667.95571381</v>
      </c>
      <c r="L204" s="80">
        <f t="shared" si="115"/>
        <v>185840316.69291461</v>
      </c>
      <c r="M204" s="80">
        <f t="shared" si="115"/>
        <v>196969279.97478461</v>
      </c>
      <c r="O204" s="191"/>
    </row>
    <row r="205" spans="1:15" x14ac:dyDescent="0.25">
      <c r="A205" s="75" t="s">
        <v>625</v>
      </c>
      <c r="B205" s="77"/>
      <c r="C205" s="80">
        <f>C194+C199+C201+C203</f>
        <v>-26755528.572999999</v>
      </c>
      <c r="D205" s="80">
        <f t="shared" ref="D205:M205" si="116">D194+D199+D201+D203</f>
        <v>-28791963.377082173</v>
      </c>
      <c r="E205" s="80">
        <f t="shared" si="116"/>
        <v>-30987309.10996294</v>
      </c>
      <c r="F205" s="80">
        <f t="shared" si="116"/>
        <v>-33203081.719991449</v>
      </c>
      <c r="G205" s="80">
        <f t="shared" si="116"/>
        <v>-35623246.177800193</v>
      </c>
      <c r="H205" s="80">
        <f t="shared" si="116"/>
        <v>-38259347.66487658</v>
      </c>
      <c r="I205" s="80">
        <f t="shared" si="116"/>
        <v>-41263461.652601101</v>
      </c>
      <c r="J205" s="80">
        <f t="shared" si="116"/>
        <v>-44495715.544298038</v>
      </c>
      <c r="K205" s="80">
        <f t="shared" si="116"/>
        <v>-47978598.634607039</v>
      </c>
      <c r="L205" s="80">
        <f t="shared" si="116"/>
        <v>-51725670.102882594</v>
      </c>
      <c r="M205" s="80">
        <f t="shared" si="116"/>
        <v>-55741101.000517204</v>
      </c>
      <c r="O205" s="191"/>
    </row>
    <row r="206" spans="1:15" x14ac:dyDescent="0.25">
      <c r="A206" s="75" t="s">
        <v>626</v>
      </c>
      <c r="B206" s="77"/>
      <c r="C206" s="80">
        <f>C204+C205</f>
        <v>78180490.119830102</v>
      </c>
      <c r="D206" s="80">
        <f t="shared" ref="D206:M206" si="117">D204+D205</f>
        <v>83345591.69220829</v>
      </c>
      <c r="E206" s="80">
        <f t="shared" si="117"/>
        <v>88337710.281386033</v>
      </c>
      <c r="F206" s="80">
        <f t="shared" si="117"/>
        <v>94807408.902127206</v>
      </c>
      <c r="G206" s="80">
        <f t="shared" si="117"/>
        <v>101431063.26777665</v>
      </c>
      <c r="H206" s="80">
        <f t="shared" si="117"/>
        <v>108210267.267012</v>
      </c>
      <c r="I206" s="80">
        <f t="shared" si="117"/>
        <v>114206533.66707134</v>
      </c>
      <c r="J206" s="80">
        <f t="shared" si="117"/>
        <v>120853787.12128927</v>
      </c>
      <c r="K206" s="80">
        <f t="shared" si="117"/>
        <v>127656069.32110676</v>
      </c>
      <c r="L206" s="80">
        <f t="shared" si="117"/>
        <v>134114646.59003201</v>
      </c>
      <c r="M206" s="80">
        <f t="shared" si="117"/>
        <v>141228178.97426742</v>
      </c>
      <c r="O206" s="191"/>
    </row>
    <row r="207" spans="1:15" x14ac:dyDescent="0.25">
      <c r="O207" s="191"/>
    </row>
    <row r="208" spans="1:15" x14ac:dyDescent="0.25">
      <c r="A208" s="64" t="s">
        <v>682</v>
      </c>
      <c r="B208" s="6"/>
      <c r="O208" s="191"/>
    </row>
    <row r="209" spans="1:15" x14ac:dyDescent="0.25">
      <c r="A209" s="75" t="s">
        <v>617</v>
      </c>
      <c r="B209" s="77"/>
      <c r="C209" s="80">
        <v>2037605.2000000007</v>
      </c>
      <c r="D209" s="80">
        <f>C217</f>
        <v>2037605.2000000007</v>
      </c>
      <c r="E209" s="80">
        <f t="shared" ref="E209:M211" si="118">D217</f>
        <v>2077605.2000000007</v>
      </c>
      <c r="F209" s="80">
        <f t="shared" si="118"/>
        <v>2077605.2000000007</v>
      </c>
      <c r="G209" s="80">
        <f t="shared" si="118"/>
        <v>2117605.2000000007</v>
      </c>
      <c r="H209" s="80">
        <f t="shared" si="118"/>
        <v>2117605.2000000007</v>
      </c>
      <c r="I209" s="80">
        <f t="shared" si="118"/>
        <v>2197605.2000000007</v>
      </c>
      <c r="J209" s="80">
        <f t="shared" si="118"/>
        <v>2197605.2000000007</v>
      </c>
      <c r="K209" s="80">
        <f t="shared" si="118"/>
        <v>2237605.2000000007</v>
      </c>
      <c r="L209" s="80">
        <f t="shared" si="118"/>
        <v>2237605.2000000007</v>
      </c>
      <c r="M209" s="80">
        <f t="shared" si="118"/>
        <v>2317605.2000000007</v>
      </c>
      <c r="O209" s="191"/>
    </row>
    <row r="210" spans="1:15" x14ac:dyDescent="0.25">
      <c r="A210" s="75" t="s">
        <v>618</v>
      </c>
      <c r="B210" s="77"/>
      <c r="C210" s="80">
        <v>0</v>
      </c>
      <c r="D210" s="80">
        <f t="shared" ref="D210:D211" si="119">C218</f>
        <v>0</v>
      </c>
      <c r="E210" s="80">
        <f t="shared" si="118"/>
        <v>7000</v>
      </c>
      <c r="F210" s="80">
        <f t="shared" si="118"/>
        <v>7000</v>
      </c>
      <c r="G210" s="80">
        <f t="shared" si="118"/>
        <v>14000</v>
      </c>
      <c r="H210" s="80">
        <f t="shared" si="118"/>
        <v>14000</v>
      </c>
      <c r="I210" s="80">
        <f t="shared" si="118"/>
        <v>28000</v>
      </c>
      <c r="J210" s="80">
        <f t="shared" si="118"/>
        <v>28000</v>
      </c>
      <c r="K210" s="80">
        <f t="shared" si="118"/>
        <v>35000</v>
      </c>
      <c r="L210" s="80">
        <f t="shared" si="118"/>
        <v>35000</v>
      </c>
      <c r="M210" s="80">
        <f t="shared" si="118"/>
        <v>49000</v>
      </c>
      <c r="O210" s="191"/>
    </row>
    <row r="211" spans="1:15" x14ac:dyDescent="0.25">
      <c r="A211" s="75" t="s">
        <v>619</v>
      </c>
      <c r="B211" s="77"/>
      <c r="C211" s="80">
        <f>C209+C210</f>
        <v>2037605.2000000007</v>
      </c>
      <c r="D211" s="80">
        <f t="shared" si="119"/>
        <v>2037605.2000000007</v>
      </c>
      <c r="E211" s="80">
        <f t="shared" si="118"/>
        <v>2084605.2000000007</v>
      </c>
      <c r="F211" s="80">
        <f t="shared" si="118"/>
        <v>2084605.2000000007</v>
      </c>
      <c r="G211" s="80">
        <f t="shared" si="118"/>
        <v>2131605.2000000007</v>
      </c>
      <c r="H211" s="80">
        <f t="shared" si="118"/>
        <v>2131605.2000000007</v>
      </c>
      <c r="I211" s="80">
        <f t="shared" si="118"/>
        <v>2225605.2000000007</v>
      </c>
      <c r="J211" s="80">
        <f t="shared" si="118"/>
        <v>2225605.2000000007</v>
      </c>
      <c r="K211" s="80">
        <f t="shared" si="118"/>
        <v>2272605.2000000007</v>
      </c>
      <c r="L211" s="80">
        <f t="shared" si="118"/>
        <v>2272605.2000000007</v>
      </c>
      <c r="M211" s="80">
        <f t="shared" si="118"/>
        <v>2366605.2000000007</v>
      </c>
      <c r="O211" s="191"/>
    </row>
    <row r="212" spans="1:15" x14ac:dyDescent="0.25">
      <c r="A212" s="76" t="s">
        <v>1164</v>
      </c>
      <c r="B212" s="78"/>
      <c r="C212" s="81">
        <f>'Capital Works'!D110</f>
        <v>0</v>
      </c>
      <c r="D212" s="81">
        <f>'Capital Works'!E110</f>
        <v>50000</v>
      </c>
      <c r="E212" s="81">
        <f>'Capital Works'!F110</f>
        <v>0</v>
      </c>
      <c r="F212" s="81">
        <f>'Capital Works'!G110</f>
        <v>50000</v>
      </c>
      <c r="G212" s="81">
        <f>'Capital Works'!H110</f>
        <v>0</v>
      </c>
      <c r="H212" s="81">
        <f>'Capital Works'!I110</f>
        <v>100000</v>
      </c>
      <c r="I212" s="81">
        <f>'Capital Works'!J110</f>
        <v>0</v>
      </c>
      <c r="J212" s="81">
        <f>'Capital Works'!K110</f>
        <v>50000</v>
      </c>
      <c r="K212" s="81">
        <f>'Capital Works'!L110</f>
        <v>0</v>
      </c>
      <c r="L212" s="81">
        <f>'Capital Works'!M110</f>
        <v>100000</v>
      </c>
      <c r="M212" s="81">
        <f>'Capital Works'!N110</f>
        <v>0</v>
      </c>
      <c r="O212" s="191"/>
    </row>
    <row r="213" spans="1:15" x14ac:dyDescent="0.25">
      <c r="A213" s="76" t="s">
        <v>620</v>
      </c>
      <c r="B213" s="78"/>
      <c r="C213" s="81">
        <f>-C212*0.2</f>
        <v>0</v>
      </c>
      <c r="D213" s="81">
        <f>-D212*0.2</f>
        <v>-10000</v>
      </c>
      <c r="E213" s="81">
        <f t="shared" ref="E213:M213" si="120">-E212*0.2</f>
        <v>0</v>
      </c>
      <c r="F213" s="81">
        <f t="shared" si="120"/>
        <v>-10000</v>
      </c>
      <c r="G213" s="81">
        <f t="shared" si="120"/>
        <v>0</v>
      </c>
      <c r="H213" s="81">
        <f t="shared" si="120"/>
        <v>-20000</v>
      </c>
      <c r="I213" s="81">
        <f t="shared" si="120"/>
        <v>0</v>
      </c>
      <c r="J213" s="81">
        <f t="shared" si="120"/>
        <v>-10000</v>
      </c>
      <c r="K213" s="81">
        <f t="shared" si="120"/>
        <v>0</v>
      </c>
      <c r="L213" s="81">
        <f t="shared" si="120"/>
        <v>-20000</v>
      </c>
      <c r="M213" s="81">
        <f t="shared" si="120"/>
        <v>0</v>
      </c>
      <c r="O213" s="191"/>
    </row>
    <row r="214" spans="1:15" x14ac:dyDescent="0.25">
      <c r="A214" s="76" t="s">
        <v>621</v>
      </c>
      <c r="B214" s="78"/>
      <c r="C214" s="81">
        <f>-C213*0.7</f>
        <v>0</v>
      </c>
      <c r="D214" s="81">
        <f>-D213*0.7</f>
        <v>7000</v>
      </c>
      <c r="E214" s="81">
        <f t="shared" ref="E214:M214" si="121">-E213*0.7</f>
        <v>0</v>
      </c>
      <c r="F214" s="81">
        <f t="shared" si="121"/>
        <v>7000</v>
      </c>
      <c r="G214" s="81">
        <f t="shared" si="121"/>
        <v>0</v>
      </c>
      <c r="H214" s="81">
        <f t="shared" si="121"/>
        <v>14000</v>
      </c>
      <c r="I214" s="81">
        <f t="shared" si="121"/>
        <v>0</v>
      </c>
      <c r="J214" s="81">
        <f t="shared" si="121"/>
        <v>7000</v>
      </c>
      <c r="K214" s="81">
        <f t="shared" si="121"/>
        <v>0</v>
      </c>
      <c r="L214" s="81">
        <f t="shared" si="121"/>
        <v>14000</v>
      </c>
      <c r="M214" s="81">
        <f t="shared" si="121"/>
        <v>0</v>
      </c>
      <c r="O214" s="191"/>
    </row>
    <row r="215" spans="1:15" x14ac:dyDescent="0.25">
      <c r="A215" s="76" t="s">
        <v>622</v>
      </c>
      <c r="B215" s="78"/>
      <c r="C215" s="81">
        <f>C213+C214</f>
        <v>0</v>
      </c>
      <c r="D215" s="81">
        <f>D213+D214</f>
        <v>-3000</v>
      </c>
      <c r="E215" s="81">
        <f t="shared" ref="E215:M215" si="122">E213+E214</f>
        <v>0</v>
      </c>
      <c r="F215" s="81">
        <f t="shared" si="122"/>
        <v>-3000</v>
      </c>
      <c r="G215" s="81">
        <f t="shared" si="122"/>
        <v>0</v>
      </c>
      <c r="H215" s="81">
        <f t="shared" si="122"/>
        <v>-6000</v>
      </c>
      <c r="I215" s="81">
        <f t="shared" si="122"/>
        <v>0</v>
      </c>
      <c r="J215" s="81">
        <f t="shared" si="122"/>
        <v>-3000</v>
      </c>
      <c r="K215" s="81">
        <f t="shared" si="122"/>
        <v>0</v>
      </c>
      <c r="L215" s="81">
        <f t="shared" si="122"/>
        <v>-6000</v>
      </c>
      <c r="M215" s="81">
        <f t="shared" si="122"/>
        <v>0</v>
      </c>
      <c r="O215" s="191"/>
    </row>
    <row r="216" spans="1:15" x14ac:dyDescent="0.25">
      <c r="A216" s="76" t="s">
        <v>623</v>
      </c>
      <c r="B216" s="92">
        <v>0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O216" s="191"/>
    </row>
    <row r="217" spans="1:15" x14ac:dyDescent="0.25">
      <c r="A217" s="75" t="s">
        <v>624</v>
      </c>
      <c r="B217" s="77"/>
      <c r="C217" s="80">
        <f t="shared" ref="C217:M217" si="123">C209+C212+C213</f>
        <v>2037605.2000000007</v>
      </c>
      <c r="D217" s="80">
        <f t="shared" si="123"/>
        <v>2077605.2000000007</v>
      </c>
      <c r="E217" s="80">
        <f t="shared" si="123"/>
        <v>2077605.2000000007</v>
      </c>
      <c r="F217" s="80">
        <f t="shared" si="123"/>
        <v>2117605.2000000007</v>
      </c>
      <c r="G217" s="80">
        <f t="shared" si="123"/>
        <v>2117605.2000000007</v>
      </c>
      <c r="H217" s="80">
        <f t="shared" si="123"/>
        <v>2197605.2000000007</v>
      </c>
      <c r="I217" s="80">
        <f t="shared" si="123"/>
        <v>2197605.2000000007</v>
      </c>
      <c r="J217" s="80">
        <f t="shared" si="123"/>
        <v>2237605.2000000007</v>
      </c>
      <c r="K217" s="80">
        <f t="shared" si="123"/>
        <v>2237605.2000000007</v>
      </c>
      <c r="L217" s="80">
        <f t="shared" si="123"/>
        <v>2317605.2000000007</v>
      </c>
      <c r="M217" s="80">
        <f t="shared" si="123"/>
        <v>2317605.2000000007</v>
      </c>
      <c r="O217" s="191"/>
    </row>
    <row r="218" spans="1:15" x14ac:dyDescent="0.25">
      <c r="A218" s="75" t="s">
        <v>625</v>
      </c>
      <c r="B218" s="77"/>
      <c r="C218" s="80">
        <f t="shared" ref="C218:M218" si="124">C210+C214+C216</f>
        <v>0</v>
      </c>
      <c r="D218" s="80">
        <f t="shared" si="124"/>
        <v>7000</v>
      </c>
      <c r="E218" s="80">
        <f t="shared" si="124"/>
        <v>7000</v>
      </c>
      <c r="F218" s="80">
        <f t="shared" si="124"/>
        <v>14000</v>
      </c>
      <c r="G218" s="80">
        <f t="shared" si="124"/>
        <v>14000</v>
      </c>
      <c r="H218" s="80">
        <f t="shared" si="124"/>
        <v>28000</v>
      </c>
      <c r="I218" s="80">
        <f t="shared" si="124"/>
        <v>28000</v>
      </c>
      <c r="J218" s="80">
        <f t="shared" si="124"/>
        <v>35000</v>
      </c>
      <c r="K218" s="80">
        <f t="shared" si="124"/>
        <v>35000</v>
      </c>
      <c r="L218" s="80">
        <f t="shared" si="124"/>
        <v>49000</v>
      </c>
      <c r="M218" s="80">
        <f t="shared" si="124"/>
        <v>49000</v>
      </c>
      <c r="O218" s="191"/>
    </row>
    <row r="219" spans="1:15" x14ac:dyDescent="0.25">
      <c r="A219" s="75" t="s">
        <v>626</v>
      </c>
      <c r="B219" s="77"/>
      <c r="C219" s="80">
        <f>C217+C218</f>
        <v>2037605.2000000007</v>
      </c>
      <c r="D219" s="80">
        <f t="shared" ref="D219:M219" si="125">D217+D218</f>
        <v>2084605.2000000007</v>
      </c>
      <c r="E219" s="80">
        <f t="shared" si="125"/>
        <v>2084605.2000000007</v>
      </c>
      <c r="F219" s="80">
        <f t="shared" si="125"/>
        <v>2131605.2000000007</v>
      </c>
      <c r="G219" s="80">
        <f t="shared" si="125"/>
        <v>2131605.2000000007</v>
      </c>
      <c r="H219" s="80">
        <f t="shared" si="125"/>
        <v>2225605.2000000007</v>
      </c>
      <c r="I219" s="80">
        <f t="shared" si="125"/>
        <v>2225605.2000000007</v>
      </c>
      <c r="J219" s="80">
        <f t="shared" si="125"/>
        <v>2272605.2000000007</v>
      </c>
      <c r="K219" s="80">
        <f t="shared" si="125"/>
        <v>2272605.2000000007</v>
      </c>
      <c r="L219" s="80">
        <f t="shared" si="125"/>
        <v>2366605.2000000007</v>
      </c>
      <c r="M219" s="80">
        <f t="shared" si="125"/>
        <v>2366605.2000000007</v>
      </c>
      <c r="O219" s="191"/>
    </row>
    <row r="220" spans="1:15" x14ac:dyDescent="0.25">
      <c r="O220" s="191"/>
    </row>
    <row r="221" spans="1:15" x14ac:dyDescent="0.25">
      <c r="A221" s="64" t="s">
        <v>684</v>
      </c>
      <c r="B221" s="6"/>
      <c r="O221" s="191"/>
    </row>
    <row r="222" spans="1:15" x14ac:dyDescent="0.25">
      <c r="A222" s="75" t="s">
        <v>617</v>
      </c>
      <c r="B222" s="77"/>
      <c r="C222" s="80">
        <v>7223905.7832835577</v>
      </c>
      <c r="D222" s="80">
        <f>C231</f>
        <v>7645186.7832835577</v>
      </c>
      <c r="E222" s="80">
        <f t="shared" ref="E222:M224" si="126">D231</f>
        <v>8076999.8082835581</v>
      </c>
      <c r="F222" s="80">
        <f t="shared" si="126"/>
        <v>8519608.1589085571</v>
      </c>
      <c r="G222" s="80">
        <f t="shared" si="126"/>
        <v>8973281.7182991821</v>
      </c>
      <c r="H222" s="80">
        <f t="shared" si="126"/>
        <v>9438297.1166745722</v>
      </c>
      <c r="I222" s="80">
        <f t="shared" si="126"/>
        <v>9914937.9000093471</v>
      </c>
      <c r="J222" s="80">
        <f t="shared" si="126"/>
        <v>10403494.702927493</v>
      </c>
      <c r="K222" s="80">
        <f t="shared" si="126"/>
        <v>10904265.42591859</v>
      </c>
      <c r="L222" s="80">
        <f t="shared" si="126"/>
        <v>11417555.416984465</v>
      </c>
      <c r="M222" s="80">
        <f t="shared" si="126"/>
        <v>11943677.657826988</v>
      </c>
      <c r="O222" s="191"/>
    </row>
    <row r="223" spans="1:15" x14ac:dyDescent="0.25">
      <c r="A223" s="75" t="s">
        <v>618</v>
      </c>
      <c r="B223" s="77"/>
      <c r="C223" s="80">
        <v>-6287966.0099999998</v>
      </c>
      <c r="D223" s="80">
        <f t="shared" ref="D223:D224" si="127">C232</f>
        <v>-6611966.0099999998</v>
      </c>
      <c r="E223" s="80">
        <f t="shared" si="126"/>
        <v>-6938044.8044999996</v>
      </c>
      <c r="F223" s="80">
        <f t="shared" si="126"/>
        <v>-7272739.8726249998</v>
      </c>
      <c r="G223" s="80">
        <f t="shared" si="126"/>
        <v>-7618264.2561281249</v>
      </c>
      <c r="H223" s="80">
        <f t="shared" si="126"/>
        <v>-7976886.3228063276</v>
      </c>
      <c r="I223" s="80">
        <f t="shared" si="126"/>
        <v>-8350931.1496514855</v>
      </c>
      <c r="J223" s="80">
        <f t="shared" si="126"/>
        <v>-8742781.940580273</v>
      </c>
      <c r="K223" s="80">
        <f t="shared" si="126"/>
        <v>-9154881.4796072803</v>
      </c>
      <c r="L223" s="80">
        <f t="shared" si="126"/>
        <v>-9589733.6203474626</v>
      </c>
      <c r="M223" s="80">
        <f t="shared" si="126"/>
        <v>-10049904.812756149</v>
      </c>
      <c r="O223" s="191"/>
    </row>
    <row r="224" spans="1:15" x14ac:dyDescent="0.25">
      <c r="A224" s="75" t="s">
        <v>619</v>
      </c>
      <c r="B224" s="77"/>
      <c r="C224" s="80">
        <f>C222+C223</f>
        <v>935939.77328355797</v>
      </c>
      <c r="D224" s="80">
        <f t="shared" si="127"/>
        <v>1033220.773283558</v>
      </c>
      <c r="E224" s="80">
        <f t="shared" si="126"/>
        <v>1138955.0037835585</v>
      </c>
      <c r="F224" s="80">
        <f t="shared" si="126"/>
        <v>1246868.2862835573</v>
      </c>
      <c r="G224" s="80">
        <f t="shared" si="126"/>
        <v>1355017.4621710572</v>
      </c>
      <c r="H224" s="80">
        <f t="shared" si="126"/>
        <v>1461410.7938682446</v>
      </c>
      <c r="I224" s="80">
        <f t="shared" si="126"/>
        <v>1564006.7503578616</v>
      </c>
      <c r="J224" s="80">
        <f t="shared" si="126"/>
        <v>1660712.7623472195</v>
      </c>
      <c r="K224" s="80">
        <f t="shared" si="126"/>
        <v>1749383.9463113099</v>
      </c>
      <c r="L224" s="80">
        <f t="shared" si="126"/>
        <v>1827821.7966370024</v>
      </c>
      <c r="M224" s="80">
        <f t="shared" si="126"/>
        <v>1893772.8450708389</v>
      </c>
      <c r="O224" s="191"/>
    </row>
    <row r="225" spans="1:15" x14ac:dyDescent="0.25">
      <c r="A225" s="76" t="s">
        <v>1165</v>
      </c>
      <c r="B225" s="78"/>
      <c r="C225" s="81">
        <f>'Capital Works'!D114</f>
        <v>421281</v>
      </c>
      <c r="D225" s="81">
        <f>'Capital Works'!E114</f>
        <v>431813.02499999997</v>
      </c>
      <c r="E225" s="81">
        <f>'Capital Works'!F114</f>
        <v>442608.3506249999</v>
      </c>
      <c r="F225" s="81">
        <f>'Capital Works'!G114</f>
        <v>453673.55939062487</v>
      </c>
      <c r="G225" s="81">
        <f>'Capital Works'!H114</f>
        <v>465015.39837539045</v>
      </c>
      <c r="H225" s="81">
        <f>'Capital Works'!I114</f>
        <v>476640.78333477519</v>
      </c>
      <c r="I225" s="81">
        <f>'Capital Works'!J114</f>
        <v>488556.8029181445</v>
      </c>
      <c r="J225" s="81">
        <f>'Capital Works'!K114</f>
        <v>500770.72299109807</v>
      </c>
      <c r="K225" s="81">
        <f>'Capital Works'!L114</f>
        <v>513289.99106587545</v>
      </c>
      <c r="L225" s="81">
        <f>'Capital Works'!M114</f>
        <v>526122.24084252224</v>
      </c>
      <c r="M225" s="81">
        <f>'Capital Works'!N114</f>
        <v>539275.29686358524</v>
      </c>
      <c r="O225" s="191"/>
    </row>
    <row r="226" spans="1:15" x14ac:dyDescent="0.25">
      <c r="A226" s="76" t="s">
        <v>620</v>
      </c>
      <c r="B226" s="78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O226" s="191"/>
    </row>
    <row r="227" spans="1:15" x14ac:dyDescent="0.25">
      <c r="A227" s="76" t="s">
        <v>621</v>
      </c>
      <c r="B227" s="78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O227" s="191"/>
    </row>
    <row r="228" spans="1:15" x14ac:dyDescent="0.25">
      <c r="A228" s="76" t="s">
        <v>622</v>
      </c>
      <c r="B228" s="78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O228" s="191"/>
    </row>
    <row r="229" spans="1:15" x14ac:dyDescent="0.25">
      <c r="A229" s="76" t="s">
        <v>628</v>
      </c>
      <c r="B229" s="78"/>
      <c r="C229" s="81">
        <v>1598107.93</v>
      </c>
      <c r="D229" s="81">
        <f>C229+D225-$C$229*0.25</f>
        <v>1630393.9724999999</v>
      </c>
      <c r="E229" s="81">
        <f t="shared" ref="E229:M229" si="128">D229+E225-$C$229*0.25</f>
        <v>1673475.340625</v>
      </c>
      <c r="F229" s="81">
        <f t="shared" si="128"/>
        <v>1727621.9175156248</v>
      </c>
      <c r="G229" s="81">
        <f t="shared" si="128"/>
        <v>1793110.3333910154</v>
      </c>
      <c r="H229" s="81">
        <f t="shared" si="128"/>
        <v>1870224.1342257909</v>
      </c>
      <c r="I229" s="81">
        <f t="shared" si="128"/>
        <v>1959253.9546439354</v>
      </c>
      <c r="J229" s="81">
        <f t="shared" si="128"/>
        <v>2060497.6951350337</v>
      </c>
      <c r="K229" s="81">
        <f t="shared" si="128"/>
        <v>2174260.7037009094</v>
      </c>
      <c r="L229" s="81">
        <f t="shared" si="128"/>
        <v>2300855.9620434316</v>
      </c>
      <c r="M229" s="81">
        <f t="shared" si="128"/>
        <v>2440604.2764070169</v>
      </c>
      <c r="O229" s="191"/>
    </row>
    <row r="230" spans="1:15" x14ac:dyDescent="0.25">
      <c r="A230" s="76" t="s">
        <v>623</v>
      </c>
      <c r="B230" s="92">
        <v>0.2</v>
      </c>
      <c r="C230" s="81">
        <f>-TB!D85</f>
        <v>-324000</v>
      </c>
      <c r="D230" s="81">
        <f>-D229*$B$230</f>
        <v>-326078.79450000002</v>
      </c>
      <c r="E230" s="81">
        <f t="shared" ref="E230:M230" si="129">-E229*$B$230</f>
        <v>-334695.06812499999</v>
      </c>
      <c r="F230" s="81">
        <f t="shared" si="129"/>
        <v>-345524.38350312499</v>
      </c>
      <c r="G230" s="81">
        <f t="shared" si="129"/>
        <v>-358622.06667820312</v>
      </c>
      <c r="H230" s="81">
        <f t="shared" si="129"/>
        <v>-374044.82684515818</v>
      </c>
      <c r="I230" s="81">
        <f t="shared" si="129"/>
        <v>-391850.79092878709</v>
      </c>
      <c r="J230" s="81">
        <f t="shared" si="129"/>
        <v>-412099.53902700677</v>
      </c>
      <c r="K230" s="81">
        <f t="shared" si="129"/>
        <v>-434852.1407401819</v>
      </c>
      <c r="L230" s="81">
        <f t="shared" si="129"/>
        <v>-460171.19240868633</v>
      </c>
      <c r="M230" s="81">
        <f t="shared" si="129"/>
        <v>-488120.8552814034</v>
      </c>
      <c r="O230" s="191"/>
    </row>
    <row r="231" spans="1:15" x14ac:dyDescent="0.25">
      <c r="A231" s="75" t="s">
        <v>624</v>
      </c>
      <c r="B231" s="77"/>
      <c r="C231" s="80">
        <f>C222+C225+C226</f>
        <v>7645186.7832835577</v>
      </c>
      <c r="D231" s="80">
        <f t="shared" ref="D231:M231" si="130">D222+D225+D226</f>
        <v>8076999.8082835581</v>
      </c>
      <c r="E231" s="80">
        <f t="shared" si="130"/>
        <v>8519608.1589085571</v>
      </c>
      <c r="F231" s="80">
        <f t="shared" si="130"/>
        <v>8973281.7182991821</v>
      </c>
      <c r="G231" s="80">
        <f t="shared" si="130"/>
        <v>9438297.1166745722</v>
      </c>
      <c r="H231" s="80">
        <f t="shared" si="130"/>
        <v>9914937.9000093471</v>
      </c>
      <c r="I231" s="80">
        <f t="shared" si="130"/>
        <v>10403494.702927493</v>
      </c>
      <c r="J231" s="80">
        <f t="shared" si="130"/>
        <v>10904265.42591859</v>
      </c>
      <c r="K231" s="80">
        <f t="shared" si="130"/>
        <v>11417555.416984465</v>
      </c>
      <c r="L231" s="80">
        <f t="shared" si="130"/>
        <v>11943677.657826988</v>
      </c>
      <c r="M231" s="80">
        <f t="shared" si="130"/>
        <v>12482952.954690574</v>
      </c>
      <c r="O231" s="191"/>
    </row>
    <row r="232" spans="1:15" x14ac:dyDescent="0.25">
      <c r="A232" s="75" t="s">
        <v>625</v>
      </c>
      <c r="B232" s="77"/>
      <c r="C232" s="80">
        <f>C223+C227+C230</f>
        <v>-6611966.0099999998</v>
      </c>
      <c r="D232" s="80">
        <f t="shared" ref="D232:M232" si="131">D223+D227+D230</f>
        <v>-6938044.8044999996</v>
      </c>
      <c r="E232" s="80">
        <f t="shared" si="131"/>
        <v>-7272739.8726249998</v>
      </c>
      <c r="F232" s="80">
        <f t="shared" si="131"/>
        <v>-7618264.2561281249</v>
      </c>
      <c r="G232" s="80">
        <f t="shared" si="131"/>
        <v>-7976886.3228063276</v>
      </c>
      <c r="H232" s="80">
        <f t="shared" si="131"/>
        <v>-8350931.1496514855</v>
      </c>
      <c r="I232" s="80">
        <f t="shared" si="131"/>
        <v>-8742781.940580273</v>
      </c>
      <c r="J232" s="80">
        <f t="shared" si="131"/>
        <v>-9154881.4796072803</v>
      </c>
      <c r="K232" s="80">
        <f t="shared" si="131"/>
        <v>-9589733.6203474626</v>
      </c>
      <c r="L232" s="80">
        <f t="shared" si="131"/>
        <v>-10049904.812756149</v>
      </c>
      <c r="M232" s="80">
        <f t="shared" si="131"/>
        <v>-10538025.668037552</v>
      </c>
      <c r="O232" s="191"/>
    </row>
    <row r="233" spans="1:15" x14ac:dyDescent="0.25">
      <c r="A233" s="75" t="s">
        <v>626</v>
      </c>
      <c r="B233" s="77"/>
      <c r="C233" s="80">
        <f>C231+C232</f>
        <v>1033220.773283558</v>
      </c>
      <c r="D233" s="80">
        <f t="shared" ref="D233:M233" si="132">D231+D232</f>
        <v>1138955.0037835585</v>
      </c>
      <c r="E233" s="80">
        <f t="shared" si="132"/>
        <v>1246868.2862835573</v>
      </c>
      <c r="F233" s="80">
        <f t="shared" si="132"/>
        <v>1355017.4621710572</v>
      </c>
      <c r="G233" s="80">
        <f t="shared" si="132"/>
        <v>1461410.7938682446</v>
      </c>
      <c r="H233" s="80">
        <f t="shared" si="132"/>
        <v>1564006.7503578616</v>
      </c>
      <c r="I233" s="80">
        <f t="shared" si="132"/>
        <v>1660712.7623472195</v>
      </c>
      <c r="J233" s="80">
        <f t="shared" si="132"/>
        <v>1749383.9463113099</v>
      </c>
      <c r="K233" s="80">
        <f t="shared" si="132"/>
        <v>1827821.7966370024</v>
      </c>
      <c r="L233" s="80">
        <f t="shared" si="132"/>
        <v>1893772.8450708389</v>
      </c>
      <c r="M233" s="80">
        <f t="shared" si="132"/>
        <v>1944927.2866530214</v>
      </c>
      <c r="O233" s="191"/>
    </row>
  </sheetData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FA0CCADC-E91E-42D0-8A0E-C74FA78667F6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C22:M22</xm:sqref>
        </x14:conditionalFormatting>
        <x14:conditionalFormatting xmlns:xm="http://schemas.microsoft.com/office/excel/2006/main">
          <x14:cfRule type="iconSet" priority="1" id="{F7D57201-45B7-490B-A064-3B730E4DCEB2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C23:M23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8"/>
  <sheetViews>
    <sheetView zoomScale="110" zoomScaleNormal="1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P8" sqref="P8"/>
    </sheetView>
  </sheetViews>
  <sheetFormatPr defaultRowHeight="15" x14ac:dyDescent="0.25"/>
  <cols>
    <col min="1" max="1" width="47" customWidth="1"/>
    <col min="2" max="12" width="12.7109375" customWidth="1"/>
  </cols>
  <sheetData>
    <row r="1" spans="1:14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4" ht="18" customHeight="1" x14ac:dyDescent="0.25">
      <c r="A2" s="1" t="s">
        <v>818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4" x14ac:dyDescent="0.25">
      <c r="A4" s="6"/>
      <c r="B4" s="7" t="s">
        <v>7</v>
      </c>
      <c r="C4" s="89" t="s">
        <v>8</v>
      </c>
      <c r="D4" s="89" t="s">
        <v>9</v>
      </c>
      <c r="E4" s="89" t="s">
        <v>10</v>
      </c>
      <c r="F4" s="89" t="s">
        <v>11</v>
      </c>
      <c r="G4" s="89" t="s">
        <v>12</v>
      </c>
      <c r="H4" s="89" t="s">
        <v>13</v>
      </c>
      <c r="I4" s="89" t="s">
        <v>14</v>
      </c>
      <c r="J4" s="89" t="s">
        <v>15</v>
      </c>
      <c r="K4" s="89" t="s">
        <v>16</v>
      </c>
      <c r="L4" s="89" t="s">
        <v>17</v>
      </c>
    </row>
    <row r="5" spans="1:14" x14ac:dyDescent="0.25">
      <c r="A5" s="6"/>
      <c r="B5" s="7">
        <f>BASE_YR</f>
        <v>2018</v>
      </c>
      <c r="C5" s="89">
        <f>B5+1</f>
        <v>2019</v>
      </c>
      <c r="D5" s="89">
        <f t="shared" ref="D5:L5" si="0">C5+1</f>
        <v>2020</v>
      </c>
      <c r="E5" s="89">
        <f t="shared" si="0"/>
        <v>2021</v>
      </c>
      <c r="F5" s="89">
        <f t="shared" si="0"/>
        <v>2022</v>
      </c>
      <c r="G5" s="89">
        <f t="shared" si="0"/>
        <v>2023</v>
      </c>
      <c r="H5" s="89">
        <f t="shared" si="0"/>
        <v>2024</v>
      </c>
      <c r="I5" s="89">
        <f t="shared" si="0"/>
        <v>2025</v>
      </c>
      <c r="J5" s="89">
        <f t="shared" si="0"/>
        <v>2026</v>
      </c>
      <c r="K5" s="89">
        <f t="shared" si="0"/>
        <v>2027</v>
      </c>
      <c r="L5" s="89">
        <f t="shared" si="0"/>
        <v>2028</v>
      </c>
    </row>
    <row r="7" spans="1:14" ht="15.75" x14ac:dyDescent="0.25">
      <c r="A7" s="28" t="s">
        <v>818</v>
      </c>
    </row>
    <row r="8" spans="1:14" x14ac:dyDescent="0.25">
      <c r="A8" s="44"/>
    </row>
    <row r="9" spans="1:14" x14ac:dyDescent="0.25">
      <c r="A9" s="49" t="s">
        <v>819</v>
      </c>
    </row>
    <row r="10" spans="1:14" x14ac:dyDescent="0.25">
      <c r="A10" s="6" t="s">
        <v>820</v>
      </c>
      <c r="B10" s="51">
        <v>-3932326.6199999992</v>
      </c>
      <c r="C10" s="51">
        <f>B10*(1+Assumptions!C$50+Assumptions!C38)</f>
        <v>-4030634.7854999998</v>
      </c>
      <c r="D10" s="51">
        <f>C10*(1+Assumptions!D$50+Assumptions!D38)</f>
        <v>-4131400.6551375003</v>
      </c>
      <c r="E10" s="51">
        <f>D10*(1+Assumptions!E$50+Assumptions!E38)</f>
        <v>-4234685.6715159379</v>
      </c>
      <c r="F10" s="51">
        <f>E10*(1+Assumptions!F$50+Assumptions!F38)</f>
        <v>-4340552.8133038366</v>
      </c>
      <c r="G10" s="51">
        <f>F10*(1+Assumptions!G$50+Assumptions!G38)</f>
        <v>-4449066.6336364327</v>
      </c>
      <c r="H10" s="51">
        <f>G10*(1+Assumptions!H$50+Assumptions!H38)</f>
        <v>-4560293.2994773444</v>
      </c>
      <c r="I10" s="51">
        <f>H10*(1+Assumptions!I$50+Assumptions!I38)</f>
        <v>-4674300.6319642784</v>
      </c>
      <c r="J10" s="51">
        <f>I10*(1+Assumptions!J$50+Assumptions!J38)</f>
        <v>-4791158.1477633864</v>
      </c>
      <c r="K10" s="51">
        <f>J10*(1+Assumptions!K$50+Assumptions!K38)</f>
        <v>-4910937.101457472</v>
      </c>
      <c r="L10" s="51">
        <f>K10*(1+Assumptions!L$50+Assumptions!L38)</f>
        <v>-5033710.5289939092</v>
      </c>
      <c r="N10" s="191"/>
    </row>
    <row r="11" spans="1:14" x14ac:dyDescent="0.25">
      <c r="A11" s="6" t="s">
        <v>821</v>
      </c>
      <c r="B11" s="51">
        <v>-2113982.3900000006</v>
      </c>
      <c r="C11" s="51">
        <f>B11*(1+Assumptions!C$50+Assumptions!C38)</f>
        <v>-2166831.9497500011</v>
      </c>
      <c r="D11" s="51">
        <f>C11*(1+Assumptions!D$50+Assumptions!D38)</f>
        <v>-2221002.7484937515</v>
      </c>
      <c r="E11" s="51">
        <f>D11*(1+Assumptions!E$50+Assumptions!E38)</f>
        <v>-2276527.8172060954</v>
      </c>
      <c r="F11" s="51">
        <f>E11*(1+Assumptions!F$50+Assumptions!F38)</f>
        <v>-2333441.012636248</v>
      </c>
      <c r="G11" s="51">
        <f>F11*(1+Assumptions!G$50+Assumptions!G38)</f>
        <v>-2391777.0379521544</v>
      </c>
      <c r="H11" s="51">
        <f>G11*(1+Assumptions!H$50+Assumptions!H38)</f>
        <v>-2451571.4639009587</v>
      </c>
      <c r="I11" s="51">
        <f>H11*(1+Assumptions!I$50+Assumptions!I38)</f>
        <v>-2512860.750498483</v>
      </c>
      <c r="J11" s="51">
        <f>I11*(1+Assumptions!J$50+Assumptions!J38)</f>
        <v>-2575682.2692609453</v>
      </c>
      <c r="K11" s="51">
        <f>J11*(1+Assumptions!K$50+Assumptions!K38)</f>
        <v>-2640074.3259924692</v>
      </c>
      <c r="L11" s="51">
        <f>K11*(1+Assumptions!L$50+Assumptions!L38)</f>
        <v>-2706076.1841422813</v>
      </c>
      <c r="M11" s="44"/>
      <c r="N11" s="191"/>
    </row>
    <row r="12" spans="1:14" x14ac:dyDescent="0.25">
      <c r="A12" s="6" t="s">
        <v>822</v>
      </c>
      <c r="B12" s="51">
        <v>-1986155.05</v>
      </c>
      <c r="C12" s="51">
        <f>B12*(1+Assumptions!C$16)</f>
        <v>-2149379.0669925599</v>
      </c>
      <c r="D12" s="51">
        <f>C12*(1+Assumptions!D$16)</f>
        <v>-2280378.7280763863</v>
      </c>
      <c r="E12" s="51">
        <f>D12*(1+Assumptions!E$16)</f>
        <v>-2419287.6105958517</v>
      </c>
      <c r="F12" s="51">
        <f>E12*(1+Assumptions!F$16)</f>
        <v>-2493517.0550169894</v>
      </c>
      <c r="G12" s="51">
        <f>F12*(1+Assumptions!G$16)</f>
        <v>-2569943.9750171453</v>
      </c>
      <c r="H12" s="51">
        <f>G12*(1+Assumptions!H$16)</f>
        <v>-2648631.8138813865</v>
      </c>
      <c r="I12" s="51">
        <f>H12*(1+Assumptions!I$16)</f>
        <v>-2729645.8128631064</v>
      </c>
      <c r="J12" s="51">
        <f>I12*(1+Assumptions!J$16)</f>
        <v>-2813053.0614138525</v>
      </c>
      <c r="K12" s="51">
        <f>J12*(1+Assumptions!K$16)</f>
        <v>-2898922.5488005504</v>
      </c>
      <c r="L12" s="51">
        <f>K12*(1+Assumptions!L$16)</f>
        <v>-2987325.2171480972</v>
      </c>
      <c r="M12" s="44"/>
      <c r="N12" s="191"/>
    </row>
    <row r="13" spans="1:14" x14ac:dyDescent="0.25">
      <c r="A13" s="6" t="s">
        <v>823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191"/>
    </row>
    <row r="14" spans="1:14" x14ac:dyDescent="0.25">
      <c r="A14" s="93" t="s">
        <v>824</v>
      </c>
      <c r="B14" s="51">
        <v>-956194.59</v>
      </c>
      <c r="C14" s="51">
        <f>B14*(1+Assumptions!C$36+Assumptions!C38)</f>
        <v>-995082.00716365606</v>
      </c>
      <c r="D14" s="51">
        <f>C14*(1+Assumptions!D$36+Assumptions!D38)</f>
        <v>-1035550.9342307097</v>
      </c>
      <c r="E14" s="51">
        <f>D14*(1+Assumptions!E$36+Assumptions!E38)</f>
        <v>-1077665.689527164</v>
      </c>
      <c r="F14" s="51">
        <f>E14*(1+Assumptions!F$36+Assumptions!F38)</f>
        <v>-1121493.2071369444</v>
      </c>
      <c r="G14" s="51">
        <f>F14*(1+Assumptions!G$36+Assumptions!G38)</f>
        <v>-1167103.143281993</v>
      </c>
      <c r="H14" s="51">
        <f>G14*(1+Assumptions!H$36+Assumptions!H38)</f>
        <v>-1214567.9870287257</v>
      </c>
      <c r="I14" s="51">
        <f>H14*(1+Assumptions!I$36+Assumptions!I38)</f>
        <v>-1263963.1754968052</v>
      </c>
      <c r="J14" s="51">
        <f>I14*(1+Assumptions!J$36+Assumptions!J38)</f>
        <v>-1315367.2137533317</v>
      </c>
      <c r="K14" s="51">
        <f>J14*(1+Assumptions!K$36+Assumptions!K38)</f>
        <v>-1368861.7995830022</v>
      </c>
      <c r="L14" s="51">
        <f>K14*(1+Assumptions!L$36+Assumptions!L38)</f>
        <v>-1424531.953332541</v>
      </c>
      <c r="M14" s="44"/>
      <c r="N14" s="191"/>
    </row>
    <row r="15" spans="1:14" x14ac:dyDescent="0.25">
      <c r="A15" s="93" t="s">
        <v>825</v>
      </c>
      <c r="B15" s="51">
        <v>-4763879.83</v>
      </c>
      <c r="C15" s="51">
        <f>B15*(1+Assumptions!C$50+Assumptions!C38)</f>
        <v>-4882976.8257500008</v>
      </c>
      <c r="D15" s="51">
        <f>C15*(1+Assumptions!D$50+Assumptions!D38)</f>
        <v>-5005051.2463937514</v>
      </c>
      <c r="E15" s="51">
        <f>D15*(1+Assumptions!E$50+Assumptions!E38)</f>
        <v>-5130177.5275535956</v>
      </c>
      <c r="F15" s="51">
        <f>E15*(1+Assumptions!F$50+Assumptions!F38)</f>
        <v>-5258431.9657424362</v>
      </c>
      <c r="G15" s="51">
        <f>F15*(1+Assumptions!G$50+Assumptions!G38)</f>
        <v>-5389892.7648859974</v>
      </c>
      <c r="H15" s="51">
        <f>G15*(1+Assumptions!H$50+Assumptions!H38)</f>
        <v>-5524640.0840081479</v>
      </c>
      <c r="I15" s="51">
        <f>H15*(1+Assumptions!I$50+Assumptions!I38)</f>
        <v>-5662756.0861083521</v>
      </c>
      <c r="J15" s="51">
        <f>I15*(1+Assumptions!J$50+Assumptions!J38)</f>
        <v>-5804324.9882610617</v>
      </c>
      <c r="K15" s="51">
        <f>J15*(1+Assumptions!K$50+Assumptions!K38)</f>
        <v>-5949433.1129675889</v>
      </c>
      <c r="L15" s="51">
        <f>K15*(1+Assumptions!L$50+Assumptions!L38)</f>
        <v>-6098168.9407917792</v>
      </c>
      <c r="N15" s="191"/>
    </row>
    <row r="16" spans="1:14" x14ac:dyDescent="0.25">
      <c r="A16" s="6" t="s">
        <v>826</v>
      </c>
      <c r="B16" s="51">
        <v>-6267842.2000000002</v>
      </c>
      <c r="C16" s="51">
        <f>B16*(1+Assumptions!C$24)</f>
        <v>-6498196.0715658925</v>
      </c>
      <c r="D16" s="51">
        <f>C16*(1+Assumptions!D$24)</f>
        <v>-6737015.8400788065</v>
      </c>
      <c r="E16" s="51">
        <f>D16*(1+Assumptions!E$24)</f>
        <v>-6984612.6416643495</v>
      </c>
      <c r="F16" s="51">
        <f>E16*(1+Assumptions!F$24)</f>
        <v>-7241309.0472304402</v>
      </c>
      <c r="G16" s="51">
        <f>F16*(1+Assumptions!G$24)</f>
        <v>-7507439.4827150246</v>
      </c>
      <c r="H16" s="51">
        <f>G16*(1+Assumptions!H$24)</f>
        <v>-7783350.6647786135</v>
      </c>
      <c r="I16" s="51">
        <f>H16*(1+Assumptions!I$24)</f>
        <v>-8069402.0525092604</v>
      </c>
      <c r="J16" s="51">
        <f>I16*(1+Assumptions!J$24)</f>
        <v>-8365966.3157284688</v>
      </c>
      <c r="K16" s="51">
        <f>J16*(1+Assumptions!K$24)</f>
        <v>-8673429.8205081355</v>
      </c>
      <c r="L16" s="51">
        <f>K16*(1+Assumptions!L$24)</f>
        <v>-8992193.1325310692</v>
      </c>
      <c r="N16" s="191"/>
    </row>
    <row r="17" spans="1:14" x14ac:dyDescent="0.25">
      <c r="A17" s="49" t="s">
        <v>827</v>
      </c>
      <c r="B17" s="60">
        <f>SUBTOTAL(9,B10:B16)</f>
        <v>-20020380.68</v>
      </c>
      <c r="C17" s="60">
        <f t="shared" ref="C17:L17" si="1">SUBTOTAL(9,C10:C16)</f>
        <v>-20723100.706722111</v>
      </c>
      <c r="D17" s="60">
        <f t="shared" si="1"/>
        <v>-21410400.152410906</v>
      </c>
      <c r="E17" s="60">
        <f t="shared" si="1"/>
        <v>-22122956.958062995</v>
      </c>
      <c r="F17" s="60">
        <f t="shared" si="1"/>
        <v>-22788745.101066895</v>
      </c>
      <c r="G17" s="60">
        <f t="shared" si="1"/>
        <v>-23475223.037488747</v>
      </c>
      <c r="H17" s="60">
        <f t="shared" si="1"/>
        <v>-24183055.313075177</v>
      </c>
      <c r="I17" s="60">
        <f t="shared" si="1"/>
        <v>-24912928.509440284</v>
      </c>
      <c r="J17" s="60">
        <f t="shared" si="1"/>
        <v>-25665551.996181048</v>
      </c>
      <c r="K17" s="60">
        <f t="shared" si="1"/>
        <v>-26441658.70930922</v>
      </c>
      <c r="L17" s="60">
        <f t="shared" si="1"/>
        <v>-27242005.956939679</v>
      </c>
      <c r="N17" s="191"/>
    </row>
    <row r="18" spans="1:14" x14ac:dyDescent="0.25">
      <c r="N18" s="191"/>
    </row>
    <row r="19" spans="1:14" x14ac:dyDescent="0.25">
      <c r="A19" s="49" t="s">
        <v>828</v>
      </c>
      <c r="N19" s="191"/>
    </row>
    <row r="20" spans="1:14" x14ac:dyDescent="0.25">
      <c r="A20" s="6" t="s">
        <v>829</v>
      </c>
      <c r="B20" s="51">
        <v>-260000</v>
      </c>
      <c r="C20" s="51">
        <v>-260000</v>
      </c>
      <c r="D20" s="51">
        <v>-260000</v>
      </c>
      <c r="E20" s="51">
        <v>-260000</v>
      </c>
      <c r="F20" s="51">
        <v>-260000</v>
      </c>
      <c r="G20" s="51">
        <v>-260000</v>
      </c>
      <c r="H20" s="51">
        <v>-260000</v>
      </c>
      <c r="I20" s="51">
        <v>-260000</v>
      </c>
      <c r="J20" s="51">
        <v>-260000</v>
      </c>
      <c r="K20" s="51">
        <v>-260000</v>
      </c>
      <c r="L20" s="51">
        <v>-260000</v>
      </c>
      <c r="N20" s="191"/>
    </row>
    <row r="21" spans="1:14" x14ac:dyDescent="0.25">
      <c r="A21" s="49" t="s">
        <v>830</v>
      </c>
      <c r="B21" s="60">
        <f>SUBTOTAL(9,B20)</f>
        <v>-260000</v>
      </c>
      <c r="C21" s="60">
        <f t="shared" ref="C21:L21" si="2">SUBTOTAL(9,C20)</f>
        <v>-260000</v>
      </c>
      <c r="D21" s="60">
        <f t="shared" si="2"/>
        <v>-260000</v>
      </c>
      <c r="E21" s="60">
        <f t="shared" si="2"/>
        <v>-260000</v>
      </c>
      <c r="F21" s="60">
        <f t="shared" si="2"/>
        <v>-260000</v>
      </c>
      <c r="G21" s="60">
        <f t="shared" si="2"/>
        <v>-260000</v>
      </c>
      <c r="H21" s="60">
        <f t="shared" si="2"/>
        <v>-260000</v>
      </c>
      <c r="I21" s="60">
        <f t="shared" si="2"/>
        <v>-260000</v>
      </c>
      <c r="J21" s="60">
        <f t="shared" si="2"/>
        <v>-260000</v>
      </c>
      <c r="K21" s="60">
        <f t="shared" si="2"/>
        <v>-260000</v>
      </c>
      <c r="L21" s="60">
        <f t="shared" si="2"/>
        <v>-260000</v>
      </c>
      <c r="N21" s="191"/>
    </row>
    <row r="22" spans="1:14" x14ac:dyDescent="0.25">
      <c r="N22" s="191"/>
    </row>
    <row r="23" spans="1:14" x14ac:dyDescent="0.25">
      <c r="N23" s="191"/>
    </row>
    <row r="24" spans="1:14" x14ac:dyDescent="0.25">
      <c r="A24" s="49" t="s">
        <v>1233</v>
      </c>
      <c r="B24" s="60">
        <v>0</v>
      </c>
      <c r="C24" s="60">
        <v>-2601242</v>
      </c>
      <c r="D24" s="60">
        <v>-2601242</v>
      </c>
      <c r="E24" s="60">
        <v>-2601242</v>
      </c>
      <c r="F24" s="60">
        <v>-2601242</v>
      </c>
      <c r="G24" s="60">
        <v>-2601242</v>
      </c>
      <c r="H24" s="60">
        <v>-2601242</v>
      </c>
      <c r="I24" s="60">
        <v>-2601242</v>
      </c>
      <c r="J24" s="60">
        <v>-2601242</v>
      </c>
      <c r="K24" s="60">
        <v>-2601242</v>
      </c>
      <c r="L24" s="60">
        <v>-2601242</v>
      </c>
      <c r="N24" s="191"/>
    </row>
    <row r="25" spans="1:14" x14ac:dyDescent="0.25">
      <c r="N25" s="191"/>
    </row>
    <row r="26" spans="1:14" s="44" customFormat="1" x14ac:dyDescent="0.25">
      <c r="A26" s="49" t="s">
        <v>1234</v>
      </c>
      <c r="B26" s="60">
        <v>0</v>
      </c>
      <c r="C26" s="60">
        <f>-25748758-C24</f>
        <v>-23147516</v>
      </c>
      <c r="D26" s="60">
        <f>-24434954.3808283-D24</f>
        <v>-21833712.380828299</v>
      </c>
      <c r="E26" s="60">
        <f>-23055460.3344201-E24</f>
        <v>-20454218.3344201</v>
      </c>
      <c r="F26" s="60">
        <f>-21606991.5856915-F24</f>
        <v>-19005749.5856915</v>
      </c>
      <c r="G26" s="60">
        <f>-20086099.3995265-G24</f>
        <v>-17484857.399526499</v>
      </c>
      <c r="H26" s="60">
        <f>-18489162.6040533-H24</f>
        <v>-15887920.6040533</v>
      </c>
      <c r="I26" s="60">
        <f>-16812378.9688063-I24</f>
        <v>-14211136.9688063</v>
      </c>
      <c r="J26" s="60">
        <f>-15051756.151797-J24</f>
        <v>-12450514.151797</v>
      </c>
      <c r="K26" s="60">
        <f>-13203102.1939373-K24</f>
        <v>-10601860.1939373</v>
      </c>
      <c r="L26" s="60">
        <f>-11262015.5381846-L24</f>
        <v>-8660773.5381846</v>
      </c>
      <c r="N26" s="191"/>
    </row>
    <row r="27" spans="1:14" x14ac:dyDescent="0.25"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N27" s="191"/>
    </row>
    <row r="28" spans="1:14" x14ac:dyDescent="0.25">
      <c r="A28" s="49" t="s">
        <v>831</v>
      </c>
      <c r="N28" s="191"/>
    </row>
    <row r="29" spans="1:14" x14ac:dyDescent="0.25">
      <c r="A29" s="6" t="s">
        <v>832</v>
      </c>
      <c r="B29" s="51">
        <v>-4783907.63</v>
      </c>
      <c r="C29" s="51">
        <f>B29*(1+Assumptions!C$36+Assumptions!C38)</f>
        <v>-4978464.0661331592</v>
      </c>
      <c r="D29" s="51">
        <f>C29*(1+Assumptions!D$36+Assumptions!D38)</f>
        <v>-5180932.9056336954</v>
      </c>
      <c r="E29" s="51">
        <f>D29*(1+Assumptions!E$36+Assumptions!E38)</f>
        <v>-5391635.9375325581</v>
      </c>
      <c r="F29" s="51">
        <f>E29*(1+Assumptions!F$36+Assumptions!F38)</f>
        <v>-5610908.0376783963</v>
      </c>
      <c r="G29" s="51">
        <f>F29*(1+Assumptions!G$36+Assumptions!G38)</f>
        <v>-5839097.700964517</v>
      </c>
      <c r="H29" s="51">
        <f>G29*(1+Assumptions!H$36+Assumptions!H38)</f>
        <v>-6076567.5952009531</v>
      </c>
      <c r="I29" s="51">
        <f>H29*(1+Assumptions!I$36+Assumptions!I38)</f>
        <v>-6323695.1375119109</v>
      </c>
      <c r="J29" s="51">
        <f>I29*(1+Assumptions!J$36+Assumptions!J38)</f>
        <v>-6580873.0941746952</v>
      </c>
      <c r="K29" s="51">
        <f>J29*(1+Assumptions!K$36+Assumptions!K38)</f>
        <v>-6848510.2048534444</v>
      </c>
      <c r="L29" s="51">
        <f>K29*(1+Assumptions!L$36+Assumptions!L38)</f>
        <v>-7127031.8322197851</v>
      </c>
      <c r="N29" s="191"/>
    </row>
    <row r="30" spans="1:14" x14ac:dyDescent="0.25">
      <c r="A30" s="6" t="s">
        <v>833</v>
      </c>
      <c r="B30" s="51">
        <v>-1775885.84</v>
      </c>
      <c r="C30" s="51">
        <f>B30</f>
        <v>-1775885.84</v>
      </c>
      <c r="D30" s="51">
        <f t="shared" ref="D30:L30" si="3">C30</f>
        <v>-1775885.84</v>
      </c>
      <c r="E30" s="51">
        <f t="shared" si="3"/>
        <v>-1775885.84</v>
      </c>
      <c r="F30" s="51">
        <f t="shared" si="3"/>
        <v>-1775885.84</v>
      </c>
      <c r="G30" s="51">
        <f t="shared" si="3"/>
        <v>-1775885.84</v>
      </c>
      <c r="H30" s="51">
        <f t="shared" si="3"/>
        <v>-1775885.84</v>
      </c>
      <c r="I30" s="51">
        <f t="shared" si="3"/>
        <v>-1775885.84</v>
      </c>
      <c r="J30" s="51">
        <f t="shared" si="3"/>
        <v>-1775885.84</v>
      </c>
      <c r="K30" s="51">
        <f t="shared" si="3"/>
        <v>-1775885.84</v>
      </c>
      <c r="L30" s="51">
        <f t="shared" si="3"/>
        <v>-1775885.84</v>
      </c>
      <c r="N30" s="191"/>
    </row>
    <row r="31" spans="1:14" x14ac:dyDescent="0.25">
      <c r="A31" s="6" t="s">
        <v>834</v>
      </c>
      <c r="B31" s="51">
        <v>-11493935.93</v>
      </c>
      <c r="C31" s="51">
        <f>B31*(1+Assumptions!C$36+Assumptions!C38)</f>
        <v>-11961382.081689944</v>
      </c>
      <c r="D31" s="51">
        <f>C31*(1+Assumptions!D$36+Assumptions!D38)</f>
        <v>-12447838.77128966</v>
      </c>
      <c r="E31" s="51">
        <f>D31*(1+Assumptions!E$36+Assumptions!E38)</f>
        <v>-12954079.137160243</v>
      </c>
      <c r="F31" s="51">
        <f>E31*(1+Assumptions!F$36+Assumptions!F38)</f>
        <v>-13480907.760377787</v>
      </c>
      <c r="G31" s="51">
        <f>F31*(1+Assumptions!G$36+Assumptions!G38)</f>
        <v>-14029161.943475161</v>
      </c>
      <c r="H31" s="51">
        <f>G31*(1+Assumptions!H$36+Assumptions!H38)</f>
        <v>-14599713.041188866</v>
      </c>
      <c r="I31" s="51">
        <f>H31*(1+Assumptions!I$36+Assumptions!I38)</f>
        <v>-15193467.845325941</v>
      </c>
      <c r="J31" s="51">
        <f>I31*(1+Assumptions!J$36+Assumptions!J38)</f>
        <v>-15811370.025951941</v>
      </c>
      <c r="K31" s="51">
        <f>J31*(1+Assumptions!K$36+Assumptions!K38)</f>
        <v>-16454401.631190494</v>
      </c>
      <c r="L31" s="51">
        <f>K31*(1+Assumptions!L$36+Assumptions!L38)</f>
        <v>-17123584.648018111</v>
      </c>
      <c r="N31" s="191"/>
    </row>
    <row r="32" spans="1:14" x14ac:dyDescent="0.25">
      <c r="A32" s="6" t="s">
        <v>835</v>
      </c>
      <c r="B32" s="51">
        <v>-161065.85999999999</v>
      </c>
      <c r="C32" s="51">
        <f>B32</f>
        <v>-161065.85999999999</v>
      </c>
      <c r="D32" s="51">
        <f t="shared" ref="D32:L32" si="4">C32</f>
        <v>-161065.85999999999</v>
      </c>
      <c r="E32" s="51">
        <f t="shared" si="4"/>
        <v>-161065.85999999999</v>
      </c>
      <c r="F32" s="51">
        <f t="shared" si="4"/>
        <v>-161065.85999999999</v>
      </c>
      <c r="G32" s="51">
        <f t="shared" si="4"/>
        <v>-161065.85999999999</v>
      </c>
      <c r="H32" s="51">
        <f t="shared" si="4"/>
        <v>-161065.85999999999</v>
      </c>
      <c r="I32" s="51">
        <f t="shared" si="4"/>
        <v>-161065.85999999999</v>
      </c>
      <c r="J32" s="51">
        <f t="shared" si="4"/>
        <v>-161065.85999999999</v>
      </c>
      <c r="K32" s="51">
        <f t="shared" si="4"/>
        <v>-161065.85999999999</v>
      </c>
      <c r="L32" s="51">
        <f t="shared" si="4"/>
        <v>-161065.85999999999</v>
      </c>
      <c r="N32" s="191"/>
    </row>
    <row r="33" spans="1:14" x14ac:dyDescent="0.25">
      <c r="A33" s="6" t="s">
        <v>836</v>
      </c>
      <c r="B33" s="51">
        <v>-52927.67</v>
      </c>
      <c r="C33" s="51">
        <f>B33</f>
        <v>-52927.67</v>
      </c>
      <c r="D33" s="51">
        <f t="shared" ref="D33:L33" si="5">C33</f>
        <v>-52927.67</v>
      </c>
      <c r="E33" s="51">
        <f t="shared" si="5"/>
        <v>-52927.67</v>
      </c>
      <c r="F33" s="51">
        <f t="shared" si="5"/>
        <v>-52927.67</v>
      </c>
      <c r="G33" s="51">
        <f t="shared" si="5"/>
        <v>-52927.67</v>
      </c>
      <c r="H33" s="51">
        <f t="shared" si="5"/>
        <v>-52927.67</v>
      </c>
      <c r="I33" s="51">
        <f t="shared" si="5"/>
        <v>-52927.67</v>
      </c>
      <c r="J33" s="51">
        <f t="shared" si="5"/>
        <v>-52927.67</v>
      </c>
      <c r="K33" s="51">
        <f t="shared" si="5"/>
        <v>-52927.67</v>
      </c>
      <c r="L33" s="51">
        <f t="shared" si="5"/>
        <v>-52927.67</v>
      </c>
      <c r="N33" s="191"/>
    </row>
    <row r="34" spans="1:14" x14ac:dyDescent="0.25">
      <c r="A34" s="49" t="s">
        <v>837</v>
      </c>
      <c r="B34" s="60">
        <f>SUBTOTAL(9,B29:B33)</f>
        <v>-18267722.93</v>
      </c>
      <c r="C34" s="60">
        <f t="shared" ref="C34:L34" si="6">SUBTOTAL(9,C29:C33)</f>
        <v>-18929725.517823104</v>
      </c>
      <c r="D34" s="60">
        <f t="shared" si="6"/>
        <v>-19618651.046923354</v>
      </c>
      <c r="E34" s="60">
        <f t="shared" si="6"/>
        <v>-20335594.444692802</v>
      </c>
      <c r="F34" s="60">
        <f t="shared" si="6"/>
        <v>-21081695.168056183</v>
      </c>
      <c r="G34" s="60">
        <f t="shared" si="6"/>
        <v>-21858139.01443968</v>
      </c>
      <c r="H34" s="60">
        <f t="shared" si="6"/>
        <v>-22666160.006389819</v>
      </c>
      <c r="I34" s="60">
        <f t="shared" si="6"/>
        <v>-23507042.352837853</v>
      </c>
      <c r="J34" s="60">
        <f t="shared" si="6"/>
        <v>-24382122.490126636</v>
      </c>
      <c r="K34" s="60">
        <f t="shared" si="6"/>
        <v>-25292791.20604394</v>
      </c>
      <c r="L34" s="60">
        <f t="shared" si="6"/>
        <v>-26240495.850237899</v>
      </c>
      <c r="N34" s="191"/>
    </row>
    <row r="35" spans="1:14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N35" s="191"/>
    </row>
    <row r="36" spans="1:14" x14ac:dyDescent="0.25">
      <c r="A36" s="49" t="s">
        <v>838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N36" s="191"/>
    </row>
    <row r="37" spans="1:14" x14ac:dyDescent="0.25">
      <c r="A37" s="6" t="s">
        <v>834</v>
      </c>
      <c r="B37" s="51">
        <v>-213621.72</v>
      </c>
      <c r="C37" s="51">
        <f>B37*(1+Assumptions!C$36+Assumptions!C38)</f>
        <v>-222309.48818833259</v>
      </c>
      <c r="D37" s="51">
        <f>C37*(1+Assumptions!D$36+Assumptions!D38)</f>
        <v>-231350.57867036361</v>
      </c>
      <c r="E37" s="51">
        <f>D37*(1+Assumptions!E$36+Assumptions!E38)</f>
        <v>-240759.36068805694</v>
      </c>
      <c r="F37" s="51">
        <f>E37*(1+Assumptions!F$36+Assumptions!F38)</f>
        <v>-250550.78786516699</v>
      </c>
      <c r="G37" s="51">
        <f>F37*(1+Assumptions!G$36+Assumptions!G38)</f>
        <v>-260740.42197342464</v>
      </c>
      <c r="H37" s="51">
        <f>G37*(1+Assumptions!H$36+Assumptions!H38)</f>
        <v>-271344.4576652688</v>
      </c>
      <c r="I37" s="51">
        <f>H37*(1+Assumptions!I$36+Assumptions!I38)</f>
        <v>-282379.74821243173</v>
      </c>
      <c r="J37" s="51">
        <f>I37*(1+Assumptions!J$36+Assumptions!J38)</f>
        <v>-293863.83229128539</v>
      </c>
      <c r="K37" s="51">
        <f>J37*(1+Assumptions!K$36+Assumptions!K38)</f>
        <v>-305814.96185751929</v>
      </c>
      <c r="L37" s="51">
        <f>K37*(1+Assumptions!L$36+Assumptions!L38)</f>
        <v>-318252.13115445175</v>
      </c>
      <c r="N37" s="191"/>
    </row>
    <row r="38" spans="1:14" x14ac:dyDescent="0.25">
      <c r="A38" s="49" t="s">
        <v>839</v>
      </c>
      <c r="B38" s="60">
        <f>SUBTOTAL(9,B37)</f>
        <v>-213621.72</v>
      </c>
      <c r="C38" s="60">
        <f t="shared" ref="C38:L38" si="7">SUBTOTAL(9,C37)</f>
        <v>-222309.48818833259</v>
      </c>
      <c r="D38" s="60">
        <f t="shared" si="7"/>
        <v>-231350.57867036361</v>
      </c>
      <c r="E38" s="60">
        <f t="shared" si="7"/>
        <v>-240759.36068805694</v>
      </c>
      <c r="F38" s="60">
        <f t="shared" si="7"/>
        <v>-250550.78786516699</v>
      </c>
      <c r="G38" s="60">
        <f t="shared" si="7"/>
        <v>-260740.42197342464</v>
      </c>
      <c r="H38" s="60">
        <f t="shared" si="7"/>
        <v>-271344.4576652688</v>
      </c>
      <c r="I38" s="60">
        <f t="shared" si="7"/>
        <v>-282379.74821243173</v>
      </c>
      <c r="J38" s="60">
        <f t="shared" si="7"/>
        <v>-293863.83229128539</v>
      </c>
      <c r="K38" s="60">
        <f t="shared" si="7"/>
        <v>-305814.96185751929</v>
      </c>
      <c r="L38" s="60">
        <f t="shared" si="7"/>
        <v>-318252.13115445175</v>
      </c>
      <c r="N38" s="191"/>
    </row>
    <row r="39" spans="1:14" x14ac:dyDescent="0.25">
      <c r="N39" s="191"/>
    </row>
    <row r="40" spans="1:14" x14ac:dyDescent="0.25">
      <c r="N40" s="191"/>
    </row>
    <row r="41" spans="1:14" x14ac:dyDescent="0.25">
      <c r="A41" s="49" t="s">
        <v>840</v>
      </c>
      <c r="N41" s="191"/>
    </row>
    <row r="42" spans="1:14" x14ac:dyDescent="0.25">
      <c r="A42" s="44"/>
      <c r="N42" s="191"/>
    </row>
    <row r="43" spans="1:14" x14ac:dyDescent="0.25">
      <c r="A43" s="3" t="s">
        <v>841</v>
      </c>
      <c r="N43" s="191"/>
    </row>
    <row r="44" spans="1:14" x14ac:dyDescent="0.25">
      <c r="A44" s="6" t="s">
        <v>771</v>
      </c>
      <c r="B44" s="51">
        <v>2851771.44</v>
      </c>
      <c r="C44" s="51">
        <f>B44*(1+Assumptions!C50+Assumptions!C38)</f>
        <v>2923065.7260000003</v>
      </c>
      <c r="D44" s="51">
        <f>C44*(1+Assumptions!D50+Assumptions!D38)</f>
        <v>2996142.3691500006</v>
      </c>
      <c r="E44" s="51">
        <f>D44*(1+Assumptions!E50+Assumptions!E38)</f>
        <v>3071045.928378751</v>
      </c>
      <c r="F44" s="51">
        <f>E44*(1+Assumptions!F50+Assumptions!F38)</f>
        <v>3147822.0765882204</v>
      </c>
      <c r="G44" s="51">
        <f>F44*(1+Assumptions!G50+Assumptions!G38)</f>
        <v>3226517.6285029263</v>
      </c>
      <c r="H44" s="51">
        <f>G44*(1+Assumptions!H50+Assumptions!H38)</f>
        <v>3307180.5692154998</v>
      </c>
      <c r="I44" s="51">
        <f>H44*(1+Assumptions!I50+Assumptions!I38)</f>
        <v>3389860.0834458875</v>
      </c>
      <c r="J44" s="51">
        <f>I44*(1+Assumptions!J50+Assumptions!J38)</f>
        <v>3474606.5855320352</v>
      </c>
      <c r="K44" s="51">
        <f>J44*(1+Assumptions!K50+Assumptions!K38)</f>
        <v>3561471.7501703366</v>
      </c>
      <c r="L44" s="51">
        <f>K44*(1+Assumptions!L50+Assumptions!L38)</f>
        <v>3650508.5439245952</v>
      </c>
      <c r="N44" s="191"/>
    </row>
    <row r="45" spans="1:14" x14ac:dyDescent="0.25">
      <c r="N45" s="191"/>
    </row>
    <row r="46" spans="1:14" x14ac:dyDescent="0.25">
      <c r="A46" s="49" t="s">
        <v>1189</v>
      </c>
      <c r="N46" s="191"/>
    </row>
    <row r="47" spans="1:14" x14ac:dyDescent="0.25">
      <c r="A47" s="44"/>
      <c r="N47" s="191"/>
    </row>
    <row r="48" spans="1:14" x14ac:dyDescent="0.25">
      <c r="A48" s="6" t="s">
        <v>842</v>
      </c>
      <c r="N48" s="191"/>
    </row>
    <row r="49" spans="1:14" x14ac:dyDescent="0.25">
      <c r="A49" s="44"/>
      <c r="N49" s="191"/>
    </row>
    <row r="50" spans="1:14" x14ac:dyDescent="0.25">
      <c r="A50" s="6" t="s">
        <v>843</v>
      </c>
      <c r="B50" s="51">
        <v>12954769</v>
      </c>
      <c r="C50" s="51">
        <f>B50*(1+Assumptions!C36+Assumptions!C38)</f>
        <v>13481625.679205641</v>
      </c>
      <c r="D50" s="51">
        <f>C50*(1+Assumptions!D36+Assumptions!D38)</f>
        <v>14029909.059298314</v>
      </c>
      <c r="E50" s="51">
        <f>D50*(1+Assumptions!E36+Assumptions!E38)</f>
        <v>14600490.541418068</v>
      </c>
      <c r="F50" s="51">
        <f>E50*(1+Assumptions!F36+Assumptions!F38)</f>
        <v>15194276.965662675</v>
      </c>
      <c r="G50" s="51">
        <f>F50*(1+Assumptions!G36+Assumptions!G38)</f>
        <v>15812212.052352356</v>
      </c>
      <c r="H50" s="51">
        <f>G50*(1+Assumptions!H36+Assumptions!H38)</f>
        <v>16455277.901909208</v>
      </c>
      <c r="I50" s="51">
        <f>H50*(1+Assumptions!I36+Assumptions!I38)</f>
        <v>17124496.555735134</v>
      </c>
      <c r="J50" s="51">
        <f>I50*(1+Assumptions!J36+Assumptions!J38)</f>
        <v>17820931.620569021</v>
      </c>
      <c r="K50" s="51">
        <f>J50*(1+Assumptions!K36+Assumptions!K38)</f>
        <v>18545689.958904795</v>
      </c>
      <c r="L50" s="51">
        <f>K50*(1+Assumptions!L36+Assumptions!L38)</f>
        <v>19299923.448156975</v>
      </c>
      <c r="N50" s="191"/>
    </row>
    <row r="51" spans="1:14" x14ac:dyDescent="0.25">
      <c r="A51" s="6" t="s">
        <v>844</v>
      </c>
      <c r="B51" s="51">
        <v>4516051.2592475796</v>
      </c>
      <c r="C51" s="58">
        <f>B51*(1+Assumptions!C50+Assumptions!C38)</f>
        <v>4628952.5407287693</v>
      </c>
      <c r="D51" s="58">
        <f>C51*(1+Assumptions!D50+Assumptions!D38)</f>
        <v>4744676.3542469889</v>
      </c>
      <c r="E51" s="58">
        <f>D51*(1+Assumptions!E50+Assumptions!E38)</f>
        <v>4863293.2631031638</v>
      </c>
      <c r="F51" s="58">
        <f>E51*(1+Assumptions!F50+Assumptions!F38)</f>
        <v>4984875.5946807433</v>
      </c>
      <c r="G51" s="58">
        <f>F51*(1+Assumptions!G50+Assumptions!G38)</f>
        <v>5109497.4845477622</v>
      </c>
      <c r="H51" s="58">
        <f>G51*(1+Assumptions!H50+Assumptions!H38)</f>
        <v>5237234.921661457</v>
      </c>
      <c r="I51" s="58">
        <f>H51*(1+Assumptions!I50+Assumptions!I38)</f>
        <v>5368165.7947029937</v>
      </c>
      <c r="J51" s="58">
        <f>I51*(1+Assumptions!J50+Assumptions!J38)</f>
        <v>5502369.9395705694</v>
      </c>
      <c r="K51" s="58">
        <f>J51*(1+Assumptions!K50+Assumptions!K38)</f>
        <v>5639929.1880598348</v>
      </c>
      <c r="L51" s="58">
        <f>K51*(1+Assumptions!L50+Assumptions!L38)</f>
        <v>5780927.4177613314</v>
      </c>
      <c r="N51" s="191"/>
    </row>
    <row r="52" spans="1:14" x14ac:dyDescent="0.25">
      <c r="B52" s="60">
        <f>SUBTOTAL(9,B50:B51)</f>
        <v>17470820.259247579</v>
      </c>
      <c r="C52" s="60">
        <f t="shared" ref="C52:L52" si="8">SUBTOTAL(9,C50:C51)</f>
        <v>18110578.219934411</v>
      </c>
      <c r="D52" s="60">
        <f t="shared" si="8"/>
        <v>18774585.413545303</v>
      </c>
      <c r="E52" s="60">
        <f t="shared" si="8"/>
        <v>19463783.804521233</v>
      </c>
      <c r="F52" s="60">
        <f t="shared" si="8"/>
        <v>20179152.560343418</v>
      </c>
      <c r="G52" s="60">
        <f t="shared" si="8"/>
        <v>20921709.536900118</v>
      </c>
      <c r="H52" s="60">
        <f t="shared" si="8"/>
        <v>21692512.823570665</v>
      </c>
      <c r="I52" s="60">
        <f t="shared" si="8"/>
        <v>22492662.350438125</v>
      </c>
      <c r="J52" s="60">
        <f t="shared" si="8"/>
        <v>23323301.560139589</v>
      </c>
      <c r="K52" s="60">
        <f t="shared" si="8"/>
        <v>24185619.146964632</v>
      </c>
      <c r="L52" s="60">
        <f t="shared" si="8"/>
        <v>25080850.865918308</v>
      </c>
      <c r="N52" s="191"/>
    </row>
    <row r="53" spans="1:14" x14ac:dyDescent="0.25">
      <c r="N53" s="191"/>
    </row>
    <row r="54" spans="1:14" x14ac:dyDescent="0.25">
      <c r="N54" s="191"/>
    </row>
    <row r="55" spans="1:14" ht="15.75" x14ac:dyDescent="0.25">
      <c r="A55" s="28" t="s">
        <v>845</v>
      </c>
      <c r="N55" s="191"/>
    </row>
    <row r="56" spans="1:14" x14ac:dyDescent="0.25">
      <c r="A56" s="44"/>
      <c r="N56" s="191"/>
    </row>
    <row r="57" spans="1:14" x14ac:dyDescent="0.25">
      <c r="A57" s="96" t="s">
        <v>846</v>
      </c>
      <c r="N57" s="191"/>
    </row>
    <row r="58" spans="1:14" x14ac:dyDescent="0.25">
      <c r="A58" s="44"/>
      <c r="N58" s="191"/>
    </row>
    <row r="59" spans="1:14" x14ac:dyDescent="0.25">
      <c r="A59" s="6" t="s">
        <v>847</v>
      </c>
      <c r="B59" s="51">
        <f>'Note 6 to 8'!B15</f>
        <v>2809582.3629457382</v>
      </c>
      <c r="C59" s="51">
        <f>'Note 6 to 8'!C15</f>
        <v>1985128.5099415034</v>
      </c>
      <c r="D59" s="51">
        <f>'Note 6 to 8'!D15</f>
        <v>1656578.6876689203</v>
      </c>
      <c r="E59" s="51">
        <f>'Note 6 to 8'!E15</f>
        <v>1850683.1557116779</v>
      </c>
      <c r="F59" s="51">
        <f>'Note 6 to 8'!F15</f>
        <v>1726707.2992825685</v>
      </c>
      <c r="G59" s="51">
        <f>'Note 6 to 8'!G15</f>
        <v>1356923.0286302217</v>
      </c>
      <c r="H59" s="51">
        <f>'Note 6 to 8'!H15</f>
        <v>1202693.1847499413</v>
      </c>
      <c r="I59" s="51">
        <f>'Note 6 to 8'!I15</f>
        <v>1329781.5498349695</v>
      </c>
      <c r="J59" s="51">
        <f>'Note 6 to 8'!J15</f>
        <v>1289684.063664556</v>
      </c>
      <c r="K59" s="51">
        <f>'Note 6 to 8'!K15</f>
        <v>1926483.9736406407</v>
      </c>
      <c r="L59" s="51">
        <f>'Note 6 to 8'!L15</f>
        <v>1979154.440006406</v>
      </c>
      <c r="M59" s="44"/>
      <c r="N59" s="191"/>
    </row>
    <row r="60" spans="1:14" x14ac:dyDescent="0.25">
      <c r="A60" s="6" t="s">
        <v>848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44"/>
      <c r="N60" s="191"/>
    </row>
    <row r="61" spans="1:14" x14ac:dyDescent="0.25">
      <c r="A61" s="49" t="s">
        <v>849</v>
      </c>
      <c r="B61" s="60">
        <f>'Cashflow Statement'!B44</f>
        <v>2809581.9929457381</v>
      </c>
      <c r="C61" s="60">
        <f>'Cashflow Statement'!C44</f>
        <v>1985128.5099415034</v>
      </c>
      <c r="D61" s="60">
        <f>'Cashflow Statement'!D44</f>
        <v>1656578.6876689203</v>
      </c>
      <c r="E61" s="60">
        <f>'Cashflow Statement'!E44</f>
        <v>1850683.1557116779</v>
      </c>
      <c r="F61" s="60">
        <f>'Cashflow Statement'!F44</f>
        <v>1726707.2992825685</v>
      </c>
      <c r="G61" s="60">
        <f>'Cashflow Statement'!G44</f>
        <v>1356923.028630222</v>
      </c>
      <c r="H61" s="60">
        <f>'Cashflow Statement'!H44</f>
        <v>1202693.1847499413</v>
      </c>
      <c r="I61" s="60">
        <f>'Cashflow Statement'!I44</f>
        <v>1329781.5498349695</v>
      </c>
      <c r="J61" s="60">
        <f>'Cashflow Statement'!J44</f>
        <v>1289684.063664556</v>
      </c>
      <c r="K61" s="60">
        <f>'Cashflow Statement'!K44</f>
        <v>1926483.9736406407</v>
      </c>
      <c r="L61" s="60">
        <f>'Cashflow Statement'!L44</f>
        <v>1979154.440006406</v>
      </c>
      <c r="M61" s="44"/>
      <c r="N61" s="191"/>
    </row>
    <row r="62" spans="1:14" x14ac:dyDescent="0.25">
      <c r="A62" s="44"/>
      <c r="B62" s="104">
        <f>B61-SUM(B59:B60)</f>
        <v>-0.37000000011175871</v>
      </c>
      <c r="C62" s="104">
        <f t="shared" ref="C62:L62" si="9">C61-SUM(C59:C60)</f>
        <v>0</v>
      </c>
      <c r="D62" s="104">
        <f t="shared" si="9"/>
        <v>0</v>
      </c>
      <c r="E62" s="104">
        <f t="shared" si="9"/>
        <v>0</v>
      </c>
      <c r="F62" s="104">
        <f t="shared" si="9"/>
        <v>0</v>
      </c>
      <c r="G62" s="104">
        <f t="shared" si="9"/>
        <v>0</v>
      </c>
      <c r="H62" s="104">
        <f t="shared" si="9"/>
        <v>0</v>
      </c>
      <c r="I62" s="104">
        <f t="shared" si="9"/>
        <v>0</v>
      </c>
      <c r="J62" s="104">
        <f t="shared" si="9"/>
        <v>0</v>
      </c>
      <c r="K62" s="104">
        <f t="shared" si="9"/>
        <v>0</v>
      </c>
      <c r="L62" s="104">
        <f t="shared" si="9"/>
        <v>0</v>
      </c>
      <c r="M62" s="27" t="s">
        <v>998</v>
      </c>
      <c r="N62" s="191"/>
    </row>
    <row r="63" spans="1:14" x14ac:dyDescent="0.25">
      <c r="A63" s="96" t="s">
        <v>850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191"/>
    </row>
    <row r="64" spans="1:14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191"/>
    </row>
    <row r="65" spans="1:14" x14ac:dyDescent="0.25">
      <c r="A65" s="103" t="s">
        <v>851</v>
      </c>
      <c r="B65" s="51">
        <f>'Income Statement'!B37</f>
        <v>10090887.299140215</v>
      </c>
      <c r="C65" s="51">
        <f>'Income Statement'!C37</f>
        <v>10711252.094679713</v>
      </c>
      <c r="D65" s="51">
        <f>'Income Statement'!D37</f>
        <v>9786842.3169220686</v>
      </c>
      <c r="E65" s="51">
        <f>'Income Statement'!E37</f>
        <v>10942091.351389349</v>
      </c>
      <c r="F65" s="51">
        <f>'Income Statement'!F37</f>
        <v>11205573.220794261</v>
      </c>
      <c r="G65" s="51">
        <f>'Income Statement'!G37</f>
        <v>10800539.641997397</v>
      </c>
      <c r="H65" s="51">
        <f>'Income Statement'!H37</f>
        <v>10643546.143625051</v>
      </c>
      <c r="I65" s="51">
        <f>'Income Statement'!I37</f>
        <v>9641717.9437290728</v>
      </c>
      <c r="J65" s="51">
        <f>'Income Statement'!J37</f>
        <v>10109567.696853966</v>
      </c>
      <c r="K65" s="51">
        <f>'Income Statement'!K37</f>
        <v>9514887.4617159069</v>
      </c>
      <c r="L65" s="51">
        <f>'Income Statement'!L37</f>
        <v>9054462.7470465899</v>
      </c>
      <c r="M65" s="44"/>
      <c r="N65" s="191"/>
    </row>
    <row r="66" spans="1:14" x14ac:dyDescent="0.25">
      <c r="A66" s="3" t="s">
        <v>852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191"/>
    </row>
    <row r="67" spans="1:14" x14ac:dyDescent="0.25">
      <c r="A67" s="6" t="s">
        <v>853</v>
      </c>
      <c r="B67" s="51">
        <f>'Income Statement'!B26</f>
        <v>23528982</v>
      </c>
      <c r="C67" s="51">
        <f>'Income Statement'!C26</f>
        <v>22822754.025585577</v>
      </c>
      <c r="D67" s="51">
        <f>'Income Statement'!D26</f>
        <v>23802379.839880958</v>
      </c>
      <c r="E67" s="51">
        <f>'Income Statement'!E26</f>
        <v>24845621.932583559</v>
      </c>
      <c r="F67" s="51">
        <f>'Income Statement'!F26</f>
        <v>25745440.298295461</v>
      </c>
      <c r="G67" s="51">
        <f>'Income Statement'!G26</f>
        <v>26607354.454380278</v>
      </c>
      <c r="H67" s="51">
        <f>'Income Statement'!H26</f>
        <v>27716740.51252811</v>
      </c>
      <c r="I67" s="51">
        <f>'Income Statement'!I26</f>
        <v>28506447.635382351</v>
      </c>
      <c r="J67" s="51">
        <f>'Income Statement'!J26</f>
        <v>29591737.265016958</v>
      </c>
      <c r="K67" s="51">
        <f>'Income Statement'!K26</f>
        <v>30948956.723557297</v>
      </c>
      <c r="L67" s="51">
        <f>'Income Statement'!L26</f>
        <v>31969887.873776428</v>
      </c>
      <c r="M67" s="44"/>
      <c r="N67" s="191"/>
    </row>
    <row r="68" spans="1:14" x14ac:dyDescent="0.25">
      <c r="A68" s="6" t="s">
        <v>854</v>
      </c>
      <c r="B68" s="51">
        <f>-'Income Statement'!B17</f>
        <v>-132057.06518488866</v>
      </c>
      <c r="C68" s="51">
        <f>-'Note 4 to 5'!D112</f>
        <v>3002335.5758860246</v>
      </c>
      <c r="D68" s="51">
        <f>-'Note 4 to 5'!E112</f>
        <v>1410702.7126195058</v>
      </c>
      <c r="E68" s="51">
        <f>-'Note 4 to 5'!F112</f>
        <v>1545792.1767690661</v>
      </c>
      <c r="F68" s="51">
        <f>-'Note 4 to 5'!G112</f>
        <v>1592161.3981231074</v>
      </c>
      <c r="G68" s="51">
        <f>-'Note 4 to 5'!H112</f>
        <v>1651509.8523003233</v>
      </c>
      <c r="H68" s="51">
        <f>-'Note 4 to 5'!I112</f>
        <v>1481501.7845524056</v>
      </c>
      <c r="I68" s="51">
        <f>-'Note 4 to 5'!J112</f>
        <v>1641409.5132510085</v>
      </c>
      <c r="J68" s="51">
        <f>-'Note 4 to 5'!K112</f>
        <v>1552439.6823447549</v>
      </c>
      <c r="K68" s="51">
        <f>-'Note 4 to 5'!L112</f>
        <v>1515193.2419236153</v>
      </c>
      <c r="L68" s="51">
        <f>-'Note 4 to 5'!M112</f>
        <v>1708946.3051985586</v>
      </c>
      <c r="M68" s="44"/>
      <c r="N68" s="191"/>
    </row>
    <row r="69" spans="1:14" x14ac:dyDescent="0.25">
      <c r="A69" s="6" t="s">
        <v>855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44"/>
      <c r="N69" s="191"/>
    </row>
    <row r="70" spans="1:14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191"/>
    </row>
    <row r="71" spans="1:14" x14ac:dyDescent="0.25">
      <c r="A71" s="3" t="s">
        <v>856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191"/>
    </row>
    <row r="72" spans="1:14" x14ac:dyDescent="0.25">
      <c r="A72" s="6" t="s">
        <v>857</v>
      </c>
      <c r="B72" s="51">
        <f>'Cashflow Works'!B12-('Cashflow Works'!B18-'Cashflow Works'!B17)+'Cashflow Works'!B30+'Cashflow Works'!B37</f>
        <v>-705719.38999999978</v>
      </c>
      <c r="C72" s="51">
        <f>'Cashflow Works'!C12-('Cashflow Works'!C18-'Cashflow Works'!C17)+'Cashflow Works'!C30+'Cashflow Works'!C37</f>
        <v>-291075.30503010517</v>
      </c>
      <c r="D72" s="51">
        <f>'Cashflow Works'!D12-('Cashflow Works'!D18-'Cashflow Works'!D17)+'Cashflow Works'!D30+'Cashflow Works'!D37</f>
        <v>-278238.85999701329</v>
      </c>
      <c r="E72" s="51">
        <f>'Cashflow Works'!E12-('Cashflow Works'!E18-'Cashflow Works'!E17)+'Cashflow Works'!E30+'Cashflow Works'!E37</f>
        <v>-281905.13602380705</v>
      </c>
      <c r="F72" s="51">
        <f>'Cashflow Works'!F12-('Cashflow Works'!F18-'Cashflow Works'!F17)+'Cashflow Works'!F30+'Cashflow Works'!F37</f>
        <v>-212622.85331514641</v>
      </c>
      <c r="G72" s="51">
        <f>'Cashflow Works'!G12-('Cashflow Works'!G18-'Cashflow Works'!G17)+'Cashflow Works'!G30+'Cashflow Works'!G37</f>
        <v>-224969.62317098078</v>
      </c>
      <c r="H72" s="51">
        <f>'Cashflow Works'!H12-('Cashflow Works'!H18-'Cashflow Works'!H17)+'Cashflow Works'!H30+'Cashflow Works'!H37</f>
        <v>-237523.84491247329</v>
      </c>
      <c r="I72" s="51">
        <f>'Cashflow Works'!I12-('Cashflow Works'!I18-'Cashflow Works'!I17)+'Cashflow Works'!I30+'Cashflow Works'!I37</f>
        <v>-250292.16287086142</v>
      </c>
      <c r="J72" s="51">
        <f>'Cashflow Works'!J12-('Cashflow Works'!J18-'Cashflow Works'!J17)+'Cashflow Works'!J30+'Cashflow Works'!J37</f>
        <v>-257474.1002423311</v>
      </c>
      <c r="K72" s="51">
        <f>'Cashflow Works'!K12-('Cashflow Works'!K18-'Cashflow Works'!K17)+'Cashflow Works'!K30+'Cashflow Works'!K37</f>
        <v>-247462.06620947749</v>
      </c>
      <c r="L72" s="51">
        <f>'Cashflow Works'!L12-('Cashflow Works'!L18-'Cashflow Works'!L17)+'Cashflow Works'!L30+'Cashflow Works'!L37</f>
        <v>-266722.06922791735</v>
      </c>
      <c r="M72" s="44"/>
      <c r="N72" s="191"/>
    </row>
    <row r="73" spans="1:14" x14ac:dyDescent="0.25">
      <c r="A73" s="6" t="s">
        <v>858</v>
      </c>
      <c r="B73" s="51">
        <f>'Balance Sheet'!B13-506677.87</f>
        <v>66600.13</v>
      </c>
      <c r="C73" s="51">
        <f>'Balance Sheet'!C13-'Balance Sheet'!B13</f>
        <v>14331.95000000007</v>
      </c>
      <c r="D73" s="51">
        <f>'Balance Sheet'!D13-'Balance Sheet'!C13</f>
        <v>14690.248750000144</v>
      </c>
      <c r="E73" s="51">
        <f>'Balance Sheet'!E13-'Balance Sheet'!D13</f>
        <v>15057.504968750058</v>
      </c>
      <c r="F73" s="51">
        <f>'Balance Sheet'!F13-'Balance Sheet'!E13</f>
        <v>15433.942592968815</v>
      </c>
      <c r="G73" s="51">
        <f>'Balance Sheet'!G13-'Balance Sheet'!F13</f>
        <v>15819.791157793137</v>
      </c>
      <c r="H73" s="51">
        <f>'Balance Sheet'!H13-'Balance Sheet'!G13</f>
        <v>16215.285936737899</v>
      </c>
      <c r="I73" s="51">
        <f>'Balance Sheet'!I13-'Balance Sheet'!H13</f>
        <v>16620.668085156241</v>
      </c>
      <c r="J73" s="51">
        <f>'Balance Sheet'!J13-'Balance Sheet'!I13</f>
        <v>17036.184787285281</v>
      </c>
      <c r="K73" s="51">
        <f>'Balance Sheet'!K13-'Balance Sheet'!J13</f>
        <v>17462.089406967396</v>
      </c>
      <c r="L73" s="51">
        <f>'Balance Sheet'!L13-'Balance Sheet'!K13</f>
        <v>17898.641642141622</v>
      </c>
      <c r="M73" s="44"/>
      <c r="N73" s="191"/>
    </row>
    <row r="74" spans="1:14" x14ac:dyDescent="0.25">
      <c r="A74" s="6" t="s">
        <v>859</v>
      </c>
      <c r="B74" s="51">
        <f>'Cashflow Works'!B50</f>
        <v>111966.04999999981</v>
      </c>
      <c r="C74" s="51">
        <f>'Cashflow Works'!C50</f>
        <v>-76003.071951354854</v>
      </c>
      <c r="D74" s="51">
        <f>'Cashflow Works'!D50</f>
        <v>-78796.314237335697</v>
      </c>
      <c r="E74" s="51">
        <f>'Cashflow Works'!E50</f>
        <v>-81692.212932694703</v>
      </c>
      <c r="F74" s="51">
        <f>'Cashflow Works'!F50</f>
        <v>-84694.540835242718</v>
      </c>
      <c r="G74" s="51">
        <f>'Cashflow Works'!G50</f>
        <v>-87807.209399536252</v>
      </c>
      <c r="H74" s="51">
        <f>'Cashflow Works'!H50</f>
        <v>-91034.273832744919</v>
      </c>
      <c r="I74" s="51">
        <f>'Cashflow Works'!I50</f>
        <v>-94379.938377803192</v>
      </c>
      <c r="J74" s="51">
        <f>'Cashflow Works'!J50</f>
        <v>-97848.561790734064</v>
      </c>
      <c r="K74" s="51">
        <f>'Cashflow Works'!K50</f>
        <v>-101444.66301926365</v>
      </c>
      <c r="L74" s="51">
        <f>'Cashflow Works'!L50</f>
        <v>-105172.92709014099</v>
      </c>
      <c r="M74" s="44"/>
      <c r="N74" s="191"/>
    </row>
    <row r="75" spans="1:14" x14ac:dyDescent="0.25">
      <c r="A75" s="6" t="s">
        <v>860</v>
      </c>
      <c r="B75" s="51">
        <f>'Cashflow Works'!B20-'Cashflow Works'!B19+'Cashflow Works'!B43-('Cashflow Works'!B57-'Cashflow Works'!B56)+'Cashflow Works'!B67+'Cashflow Works'!B74-B73</f>
        <v>4239340.4699999988</v>
      </c>
      <c r="C75" s="51">
        <f>'Cashflow Works'!C20-'Cashflow Works'!C19+'Cashflow Works'!C43-('Cashflow Works'!C57-'Cashflow Works'!C56)+'Cashflow Works'!C67+'Cashflow Works'!C74-C73</f>
        <v>590928.60340160027</v>
      </c>
      <c r="D75" s="51">
        <f>'Cashflow Works'!D20-'Cashflow Works'!D19+'Cashflow Works'!D43-('Cashflow Works'!D57-'Cashflow Works'!D56)+'Cashflow Works'!D67+'Cashflow Works'!D74-D73</f>
        <v>572357.41916646459</v>
      </c>
      <c r="E75" s="51">
        <f>'Cashflow Works'!E20-'Cashflow Works'!E19+'Cashflow Works'!E43-('Cashflow Works'!E57-'Cashflow Works'!E56)+'Cashflow Works'!E67+'Cashflow Works'!E74-E73</f>
        <v>594372.33394463803</v>
      </c>
      <c r="F75" s="51">
        <f>'Cashflow Works'!F20-'Cashflow Works'!F19+'Cashflow Works'!F43-('Cashflow Works'!F57-'Cashflow Works'!F56)+'Cashflow Works'!F67+'Cashflow Works'!F74-F73</f>
        <v>544266.60747999011</v>
      </c>
      <c r="G75" s="51">
        <f>'Cashflow Works'!G20-'Cashflow Works'!G19+'Cashflow Works'!G43-('Cashflow Works'!G57-'Cashflow Works'!G56)+'Cashflow Works'!G67+'Cashflow Works'!G74-G73</f>
        <v>561521.85472308903</v>
      </c>
      <c r="H75" s="51">
        <f>'Cashflow Works'!H20-'Cashflow Works'!H19+'Cashflow Works'!H43-('Cashflow Works'!H57-'Cashflow Works'!H56)+'Cashflow Works'!H67+'Cashflow Works'!H74-H73</f>
        <v>579341.21172224195</v>
      </c>
      <c r="I75" s="51">
        <f>'Cashflow Works'!I20-'Cashflow Works'!I19+'Cashflow Works'!I43-('Cashflow Works'!I57-'Cashflow Works'!I56)+'Cashflow Works'!I67+'Cashflow Works'!I74-I73</f>
        <v>597743.6678869992</v>
      </c>
      <c r="J75" s="51">
        <f>'Cashflow Works'!J20-'Cashflow Works'!J19+'Cashflow Works'!J43-('Cashflow Works'!J57-'Cashflow Works'!J56)+'Cashflow Works'!J67+'Cashflow Works'!J74-J73</f>
        <v>616748.86889817822</v>
      </c>
      <c r="K75" s="51">
        <f>'Cashflow Works'!K20-'Cashflow Works'!K19+'Cashflow Works'!K43-('Cashflow Works'!K57-'Cashflow Works'!K56)+'Cashflow Works'!K67+'Cashflow Works'!K74-K73</f>
        <v>636377.13990491652</v>
      </c>
      <c r="L75" s="51">
        <f>'Cashflow Works'!L20-'Cashflow Works'!L19+'Cashflow Works'!L43-('Cashflow Works'!L57-'Cashflow Works'!L56)+'Cashflow Works'!L67+'Cashflow Works'!L74-L73</f>
        <v>656649.50955704297</v>
      </c>
      <c r="M75" s="44"/>
      <c r="N75" s="191"/>
    </row>
    <row r="76" spans="1:14" x14ac:dyDescent="0.25">
      <c r="A76" s="6" t="s">
        <v>861</v>
      </c>
      <c r="B76" s="51">
        <f>-('Cashflow Works'!B59-'Cashflow Works'!B58)</f>
        <v>159846.11999999732</v>
      </c>
      <c r="C76" s="51">
        <f>-('Cashflow Works'!C59-'Cashflow Works'!C58)</f>
        <v>670690.35601143911</v>
      </c>
      <c r="D76" s="51">
        <f>-('Cashflow Works'!D59-'Cashflow Works'!D58)</f>
        <v>697966.61958228052</v>
      </c>
      <c r="E76" s="51">
        <f>-('Cashflow Works'!E59-'Cashflow Works'!E58)</f>
        <v>726352.17978714034</v>
      </c>
      <c r="F76" s="51">
        <f>-('Cashflow Works'!F59-'Cashflow Works'!F58)</f>
        <v>755892.1505404897</v>
      </c>
      <c r="G76" s="51">
        <f>-('Cashflow Works'!G59-'Cashflow Works'!G58)</f>
        <v>786633.48049175739</v>
      </c>
      <c r="H76" s="51">
        <f>-('Cashflow Works'!H59-'Cashflow Works'!H58)</f>
        <v>818625.02764198184</v>
      </c>
      <c r="I76" s="51">
        <f>-('Cashflow Works'!I59-'Cashflow Works'!I58)</f>
        <v>851917.63699519634</v>
      </c>
      <c r="J76" s="51">
        <f>-('Cashflow Works'!J59-'Cashflow Works'!J58)</f>
        <v>886564.22136763856</v>
      </c>
      <c r="K76" s="51">
        <f>-('Cashflow Works'!K59-'Cashflow Works'!K58)</f>
        <v>922619.84548353776</v>
      </c>
      <c r="L76" s="51">
        <f>-('Cashflow Works'!L59-'Cashflow Works'!L58)</f>
        <v>960141.81349088997</v>
      </c>
      <c r="M76" s="44"/>
      <c r="N76" s="191"/>
    </row>
    <row r="77" spans="1:14" x14ac:dyDescent="0.25">
      <c r="A77" s="49" t="s">
        <v>862</v>
      </c>
      <c r="B77" s="60">
        <f>'Cashflow Statement'!B21</f>
        <v>37359845.613955341</v>
      </c>
      <c r="C77" s="60">
        <f>'Cashflow Statement'!C21</f>
        <v>37445214.228582859</v>
      </c>
      <c r="D77" s="60">
        <f>'Cashflow Statement'!D21</f>
        <v>35927903.982686952</v>
      </c>
      <c r="E77" s="60">
        <f>'Cashflow Statement'!E21</f>
        <v>38305690.130486056</v>
      </c>
      <c r="F77" s="60">
        <f>'Cashflow Statement'!F21</f>
        <v>39561450.223675869</v>
      </c>
      <c r="G77" s="60">
        <f>'Cashflow Statement'!G21</f>
        <v>40110602.242480099</v>
      </c>
      <c r="H77" s="60">
        <f>'Cashflow Statement'!H21</f>
        <v>40927411.847261325</v>
      </c>
      <c r="I77" s="60">
        <f>'Cashflow Statement'!I21</f>
        <v>40911184.964081153</v>
      </c>
      <c r="J77" s="60">
        <f>'Cashflow Statement'!J21</f>
        <v>42418771.257235736</v>
      </c>
      <c r="K77" s="60">
        <f>'Cashflow Statement'!K21</f>
        <v>43206589.772763543</v>
      </c>
      <c r="L77" s="60">
        <f>'Cashflow Statement'!L21</f>
        <v>43996091.894393593</v>
      </c>
      <c r="M77" s="44"/>
      <c r="N77" s="191"/>
    </row>
    <row r="78" spans="1:14" x14ac:dyDescent="0.25">
      <c r="B78" s="104">
        <f t="shared" ref="B78:L78" si="10">B77-SUM(B65:B76)</f>
        <v>0</v>
      </c>
      <c r="C78" s="104">
        <f t="shared" si="10"/>
        <v>0</v>
      </c>
      <c r="D78" s="104">
        <f t="shared" si="10"/>
        <v>0</v>
      </c>
      <c r="E78" s="104">
        <f t="shared" si="10"/>
        <v>5.9604644775390625E-8</v>
      </c>
      <c r="F78" s="104">
        <f t="shared" si="10"/>
        <v>0</v>
      </c>
      <c r="G78" s="104">
        <f t="shared" si="10"/>
        <v>0</v>
      </c>
      <c r="H78" s="104">
        <f t="shared" si="10"/>
        <v>0</v>
      </c>
      <c r="I78" s="104">
        <f t="shared" si="10"/>
        <v>0</v>
      </c>
      <c r="J78" s="104">
        <f t="shared" si="10"/>
        <v>0</v>
      </c>
      <c r="K78" s="104">
        <f t="shared" si="10"/>
        <v>0</v>
      </c>
      <c r="L78" s="104">
        <f t="shared" si="10"/>
        <v>0</v>
      </c>
      <c r="M78" s="27" t="s">
        <v>998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="120" zoomScaleNormal="120" workbookViewId="0">
      <pane xSplit="1" ySplit="5" topLeftCell="B15" activePane="bottomRight" state="frozen"/>
      <selection pane="topRight" activeCell="B1" sqref="B1"/>
      <selection pane="bottomLeft" activeCell="A6" sqref="A6"/>
      <selection pane="bottomRight" activeCell="C21" sqref="C21:C22"/>
    </sheetView>
  </sheetViews>
  <sheetFormatPr defaultRowHeight="15" x14ac:dyDescent="0.25"/>
  <cols>
    <col min="1" max="1" width="48.7109375" customWidth="1"/>
    <col min="2" max="12" width="12.7109375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1046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91" t="s">
        <v>8</v>
      </c>
      <c r="D4" s="91" t="s">
        <v>9</v>
      </c>
      <c r="E4" s="91" t="s">
        <v>10</v>
      </c>
      <c r="F4" s="91" t="s">
        <v>11</v>
      </c>
      <c r="G4" s="91" t="s">
        <v>12</v>
      </c>
      <c r="H4" s="91" t="s">
        <v>13</v>
      </c>
      <c r="I4" s="91" t="s">
        <v>14</v>
      </c>
      <c r="J4" s="91" t="s">
        <v>15</v>
      </c>
      <c r="K4" s="91" t="s">
        <v>16</v>
      </c>
      <c r="L4" s="91" t="s">
        <v>17</v>
      </c>
    </row>
    <row r="5" spans="1:12" x14ac:dyDescent="0.25">
      <c r="A5" s="6"/>
      <c r="B5" s="7">
        <f>BASE_YR</f>
        <v>2018</v>
      </c>
      <c r="C5" s="91">
        <f>B5+1</f>
        <v>2019</v>
      </c>
      <c r="D5" s="91">
        <f t="shared" ref="D5:L5" si="0">C5+1</f>
        <v>2020</v>
      </c>
      <c r="E5" s="91">
        <f t="shared" si="0"/>
        <v>2021</v>
      </c>
      <c r="F5" s="91">
        <f t="shared" si="0"/>
        <v>2022</v>
      </c>
      <c r="G5" s="91">
        <f t="shared" si="0"/>
        <v>2023</v>
      </c>
      <c r="H5" s="91">
        <f t="shared" si="0"/>
        <v>2024</v>
      </c>
      <c r="I5" s="91">
        <f t="shared" si="0"/>
        <v>2025</v>
      </c>
      <c r="J5" s="91">
        <f t="shared" si="0"/>
        <v>2026</v>
      </c>
      <c r="K5" s="91">
        <f t="shared" si="0"/>
        <v>2027</v>
      </c>
      <c r="L5" s="91">
        <f t="shared" si="0"/>
        <v>2028</v>
      </c>
    </row>
    <row r="7" spans="1:12" ht="15.75" x14ac:dyDescent="0.25">
      <c r="A7" s="126" t="s">
        <v>1047</v>
      </c>
    </row>
    <row r="8" spans="1:12" x14ac:dyDescent="0.25">
      <c r="A8" s="44"/>
    </row>
    <row r="9" spans="1:12" x14ac:dyDescent="0.25">
      <c r="A9" s="100" t="s">
        <v>1000</v>
      </c>
    </row>
    <row r="10" spans="1:12" x14ac:dyDescent="0.25">
      <c r="A10" s="6" t="s">
        <v>1001</v>
      </c>
    </row>
    <row r="11" spans="1:12" x14ac:dyDescent="0.25">
      <c r="A11" s="115" t="s">
        <v>1002</v>
      </c>
      <c r="B11" s="196">
        <f>'Note 13 Works'!B10</f>
        <v>3.4044152211581601E-2</v>
      </c>
      <c r="C11" s="196">
        <f>'Note 13 Works'!C10</f>
        <v>3.6936488691581643E-2</v>
      </c>
      <c r="D11" s="196">
        <f>'Note 13 Works'!D10</f>
        <v>3.0003645003659467E-2</v>
      </c>
      <c r="E11" s="196">
        <f>'Note 13 Works'!E10</f>
        <v>3.588621942806694E-2</v>
      </c>
      <c r="F11" s="196">
        <f>'Note 13 Works'!F10</f>
        <v>3.6094025485746965E-2</v>
      </c>
      <c r="G11" s="196">
        <f>'Note 13 Works'!G10</f>
        <v>3.2300628888461781E-2</v>
      </c>
      <c r="H11" s="196">
        <f>'Note 13 Works'!H10</f>
        <v>3.0059895817089073E-2</v>
      </c>
      <c r="I11" s="196">
        <f>'Note 13 Works'!I10</f>
        <v>2.3234337738256009E-2</v>
      </c>
      <c r="J11" s="196">
        <f>'Note 13 Works'!J10</f>
        <v>2.4700913539949857E-2</v>
      </c>
      <c r="K11" s="196">
        <f>'Note 13 Works'!K10</f>
        <v>2.0525431052271326E-2</v>
      </c>
      <c r="L11" s="196">
        <f>'Note 13 Works'!L10</f>
        <v>1.7239457499245169E-2</v>
      </c>
    </row>
    <row r="12" spans="1:12" x14ac:dyDescent="0.25">
      <c r="A12" s="50" t="s">
        <v>1001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2" x14ac:dyDescent="0.25">
      <c r="A13" s="121" t="s">
        <v>1003</v>
      </c>
    </row>
    <row r="15" spans="1:12" x14ac:dyDescent="0.25">
      <c r="A15" s="100" t="s">
        <v>1048</v>
      </c>
    </row>
    <row r="16" spans="1:12" x14ac:dyDescent="0.25">
      <c r="A16" s="6" t="s">
        <v>1001</v>
      </c>
    </row>
    <row r="17" spans="1:12" x14ac:dyDescent="0.25">
      <c r="A17" s="115" t="s">
        <v>1049</v>
      </c>
      <c r="B17" s="196">
        <f>'Note 13 Works'!B30</f>
        <v>0.92117447445264078</v>
      </c>
      <c r="C17" s="196">
        <f>'Note 13 Works'!C30</f>
        <v>0.92159617464758814</v>
      </c>
      <c r="D17" s="196">
        <f>'Note 13 Works'!D30</f>
        <v>0.92137326658588559</v>
      </c>
      <c r="E17" s="196">
        <f>'Note 13 Works'!E30</f>
        <v>0.9236843796300932</v>
      </c>
      <c r="F17" s="196">
        <f>'Note 13 Works'!F30</f>
        <v>0.92455632410891597</v>
      </c>
      <c r="G17" s="196">
        <f>'Note 13 Works'!G30</f>
        <v>0.92541653547613456</v>
      </c>
      <c r="H17" s="196">
        <f>'Note 13 Works'!H30</f>
        <v>0.92637550249384448</v>
      </c>
      <c r="I17" s="196">
        <f>'Note 13 Works'!I30</f>
        <v>0.92728843386047166</v>
      </c>
      <c r="J17" s="196">
        <f>'Note 13 Works'!J30</f>
        <v>0.92818052003849261</v>
      </c>
      <c r="K17" s="196">
        <f>'Note 13 Works'!K30</f>
        <v>0.92895782719640185</v>
      </c>
      <c r="L17" s="196">
        <f>'Note 13 Works'!L30</f>
        <v>0.92973098803102461</v>
      </c>
    </row>
    <row r="18" spans="1:12" x14ac:dyDescent="0.25">
      <c r="A18" s="50" t="s">
        <v>1001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</row>
    <row r="20" spans="1:12" x14ac:dyDescent="0.25">
      <c r="A20" s="100" t="s">
        <v>1015</v>
      </c>
    </row>
    <row r="21" spans="1:12" x14ac:dyDescent="0.25">
      <c r="A21" s="115" t="s">
        <v>1016</v>
      </c>
      <c r="B21" s="198">
        <f>'Note 13 Works'!B45</f>
        <v>2.3551033769695668</v>
      </c>
      <c r="C21" s="198">
        <f>'Note 13 Works'!C45</f>
        <v>1.8288741521359015</v>
      </c>
      <c r="D21" s="198">
        <f>'Note 13 Works'!D45</f>
        <v>1.6867525486207726</v>
      </c>
      <c r="E21" s="198">
        <f>'Note 13 Works'!E45</f>
        <v>1.5553109643750089</v>
      </c>
      <c r="F21" s="198">
        <f>'Note 13 Works'!F45</f>
        <v>1.5325466339312646</v>
      </c>
      <c r="G21" s="198">
        <f>'Note 13 Works'!G45</f>
        <v>1.5537098752709935</v>
      </c>
      <c r="H21" s="198">
        <f>'Note 13 Works'!H45</f>
        <v>1.6135417345923442</v>
      </c>
      <c r="I21" s="198">
        <f>'Note 13 Works'!I45</f>
        <v>1.6488950958835757</v>
      </c>
      <c r="J21" s="198">
        <f>'Note 13 Works'!J45</f>
        <v>1.6517427434408385</v>
      </c>
      <c r="K21" s="198">
        <f>'Note 13 Works'!K45</f>
        <v>1.6478728484293721</v>
      </c>
      <c r="L21" s="198">
        <f>'Note 13 Works'!L45</f>
        <v>1.6257687853975229</v>
      </c>
    </row>
    <row r="22" spans="1:12" x14ac:dyDescent="0.25">
      <c r="A22" s="50" t="s">
        <v>1017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</row>
    <row r="24" spans="1:12" x14ac:dyDescent="0.25">
      <c r="A24" s="100" t="s">
        <v>1050</v>
      </c>
    </row>
    <row r="25" spans="1:12" x14ac:dyDescent="0.25">
      <c r="A25" s="6" t="s">
        <v>1051</v>
      </c>
    </row>
    <row r="26" spans="1:12" x14ac:dyDescent="0.25">
      <c r="A26" s="115" t="s">
        <v>1052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</row>
    <row r="27" spans="1:12" x14ac:dyDescent="0.25">
      <c r="A27" s="50" t="s">
        <v>1053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</row>
    <row r="28" spans="1:12" x14ac:dyDescent="0.25">
      <c r="A28" s="125" t="s">
        <v>1054</v>
      </c>
    </row>
    <row r="30" spans="1:12" x14ac:dyDescent="0.25">
      <c r="A30" s="100" t="s">
        <v>1022</v>
      </c>
    </row>
    <row r="31" spans="1:12" x14ac:dyDescent="0.25">
      <c r="A31" s="100" t="s">
        <v>1023</v>
      </c>
    </row>
    <row r="32" spans="1:12" x14ac:dyDescent="0.25">
      <c r="A32" s="115" t="s">
        <v>1024</v>
      </c>
      <c r="B32" s="196">
        <f>'Note 13 Works'!B84</f>
        <v>2.8087601488798797E-2</v>
      </c>
      <c r="C32" s="196">
        <f>'Note 13 Works'!C84</f>
        <v>2.839878568573162E-2</v>
      </c>
      <c r="D32" s="196">
        <f>'Note 13 Works'!D84</f>
        <v>2.9790331389322182E-2</v>
      </c>
      <c r="E32" s="196">
        <f>'Note 13 Works'!E84</f>
        <v>3.0075636219747862E-2</v>
      </c>
      <c r="F32" s="196">
        <f>'Note 13 Works'!F84</f>
        <v>3.0086462649752465E-2</v>
      </c>
      <c r="G32" s="196">
        <f>'Note 13 Works'!G84</f>
        <v>3.0121903092925461E-2</v>
      </c>
      <c r="H32" s="196">
        <f>'Note 13 Works'!H84</f>
        <v>3.0116602801750856E-2</v>
      </c>
      <c r="I32" s="196">
        <f>'Note 13 Works'!I84</f>
        <v>3.0110991679851814E-2</v>
      </c>
      <c r="J32" s="196">
        <f>'Note 13 Works'!J84</f>
        <v>3.010507314079338E-2</v>
      </c>
      <c r="K32" s="196">
        <f>'Note 13 Works'!K84</f>
        <v>3.0139341415327793E-2</v>
      </c>
      <c r="L32" s="196">
        <f>'Note 13 Works'!L84</f>
        <v>3.0173283582894169E-2</v>
      </c>
    </row>
    <row r="33" spans="1:12" x14ac:dyDescent="0.25">
      <c r="A33" s="50" t="s">
        <v>1025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</row>
    <row r="35" spans="1:12" x14ac:dyDescent="0.25">
      <c r="A35" s="100" t="s">
        <v>1036</v>
      </c>
    </row>
    <row r="36" spans="1:12" x14ac:dyDescent="0.25">
      <c r="A36" s="6" t="s">
        <v>1055</v>
      </c>
    </row>
    <row r="37" spans="1:12" x14ac:dyDescent="0.25">
      <c r="A37" s="115" t="s">
        <v>1056</v>
      </c>
      <c r="B37" s="198">
        <f>'Note 13 Works'!B103</f>
        <v>4.4561004630136845</v>
      </c>
      <c r="C37" s="198">
        <f>'Note 13 Works'!C103</f>
        <v>3.6767313104301462</v>
      </c>
      <c r="D37" s="198">
        <f>'Note 13 Works'!D103</f>
        <v>3.4355350311208701</v>
      </c>
      <c r="E37" s="198">
        <f>'Note 13 Works'!E103</f>
        <v>3.1417121058233066</v>
      </c>
      <c r="F37" s="198">
        <f>'Note 13 Works'!F103</f>
        <v>3.0912729291722516</v>
      </c>
      <c r="G37" s="198">
        <f>'Note 13 Works'!G103</f>
        <v>3.0469663975924006</v>
      </c>
      <c r="H37" s="198">
        <f>'Note 13 Works'!H103</f>
        <v>3.0636249286520929</v>
      </c>
      <c r="I37" s="198">
        <f>'Note 13 Works'!I103</f>
        <v>3.1241507678707694</v>
      </c>
      <c r="J37" s="198">
        <f>'Note 13 Works'!J103</f>
        <v>3.1957118790491514</v>
      </c>
      <c r="K37" s="198">
        <f>'Note 13 Works'!K103</f>
        <v>3.1853626569120617</v>
      </c>
      <c r="L37" s="198">
        <f>'Note 13 Works'!L103</f>
        <v>3.2037899776168479</v>
      </c>
    </row>
    <row r="38" spans="1:12" x14ac:dyDescent="0.25">
      <c r="A38" s="50" t="s">
        <v>1057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</row>
    <row r="39" spans="1:12" x14ac:dyDescent="0.25">
      <c r="A39" s="125" t="s">
        <v>1058</v>
      </c>
    </row>
  </sheetData>
  <mergeCells count="66">
    <mergeCell ref="G37:G38"/>
    <mergeCell ref="H37:H38"/>
    <mergeCell ref="I37:I38"/>
    <mergeCell ref="J37:J38"/>
    <mergeCell ref="K37:K38"/>
    <mergeCell ref="L37:L38"/>
    <mergeCell ref="H32:H33"/>
    <mergeCell ref="I32:I33"/>
    <mergeCell ref="J32:J33"/>
    <mergeCell ref="K32:K33"/>
    <mergeCell ref="L32:L33"/>
    <mergeCell ref="B37:B38"/>
    <mergeCell ref="C37:C38"/>
    <mergeCell ref="D37:D38"/>
    <mergeCell ref="E37:E38"/>
    <mergeCell ref="F37:F38"/>
    <mergeCell ref="B32:B33"/>
    <mergeCell ref="C32:C33"/>
    <mergeCell ref="D32:D33"/>
    <mergeCell ref="E32:E33"/>
    <mergeCell ref="F32:F33"/>
    <mergeCell ref="G32:G33"/>
    <mergeCell ref="G26:G27"/>
    <mergeCell ref="H26:H27"/>
    <mergeCell ref="I26:I27"/>
    <mergeCell ref="J26:J27"/>
    <mergeCell ref="K26:K27"/>
    <mergeCell ref="L26:L27"/>
    <mergeCell ref="H21:H22"/>
    <mergeCell ref="I21:I22"/>
    <mergeCell ref="J21:J22"/>
    <mergeCell ref="K21:K22"/>
    <mergeCell ref="L21:L22"/>
    <mergeCell ref="B26:B27"/>
    <mergeCell ref="C26:C27"/>
    <mergeCell ref="D26:D27"/>
    <mergeCell ref="E26:E27"/>
    <mergeCell ref="F26:F27"/>
    <mergeCell ref="B21:B22"/>
    <mergeCell ref="C21:C22"/>
    <mergeCell ref="D21:D22"/>
    <mergeCell ref="E21:E22"/>
    <mergeCell ref="F21:F22"/>
    <mergeCell ref="G21:G22"/>
    <mergeCell ref="G17:G18"/>
    <mergeCell ref="H17:H18"/>
    <mergeCell ref="I17:I18"/>
    <mergeCell ref="J17:J18"/>
    <mergeCell ref="K17:K18"/>
    <mergeCell ref="L17:L18"/>
    <mergeCell ref="H11:H12"/>
    <mergeCell ref="I11:I12"/>
    <mergeCell ref="J11:J12"/>
    <mergeCell ref="K11:K12"/>
    <mergeCell ref="L11:L12"/>
    <mergeCell ref="B17:B18"/>
    <mergeCell ref="C17:C18"/>
    <mergeCell ref="D17:D18"/>
    <mergeCell ref="E17:E18"/>
    <mergeCell ref="F17:F18"/>
    <mergeCell ref="G11:G12"/>
    <mergeCell ref="B11:B12"/>
    <mergeCell ref="C11:C12"/>
    <mergeCell ref="D11:D12"/>
    <mergeCell ref="E11:E12"/>
    <mergeCell ref="F11:F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4"/>
  <sheetViews>
    <sheetView zoomScale="120" zoomScaleNormal="120" workbookViewId="0">
      <pane xSplit="1" ySplit="5" topLeftCell="B57" activePane="bottomRight" state="frozen"/>
      <selection pane="topRight" activeCell="B1" sqref="B1"/>
      <selection pane="bottomLeft" activeCell="A6" sqref="A6"/>
      <selection pane="bottomRight" activeCell="C73" sqref="C73"/>
    </sheetView>
  </sheetViews>
  <sheetFormatPr defaultRowHeight="15" x14ac:dyDescent="0.25"/>
  <cols>
    <col min="1" max="1" width="73.5703125" customWidth="1"/>
    <col min="2" max="2" width="12.7109375" customWidth="1"/>
    <col min="3" max="3" width="9.140625" customWidth="1"/>
    <col min="4" max="12" width="12.7109375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999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91" t="s">
        <v>8</v>
      </c>
      <c r="D4" s="91" t="s">
        <v>9</v>
      </c>
      <c r="E4" s="91" t="s">
        <v>10</v>
      </c>
      <c r="F4" s="91" t="s">
        <v>11</v>
      </c>
      <c r="G4" s="91" t="s">
        <v>12</v>
      </c>
      <c r="H4" s="91" t="s">
        <v>13</v>
      </c>
      <c r="I4" s="91" t="s">
        <v>14</v>
      </c>
      <c r="J4" s="91" t="s">
        <v>15</v>
      </c>
      <c r="K4" s="91" t="s">
        <v>16</v>
      </c>
      <c r="L4" s="91" t="s">
        <v>17</v>
      </c>
    </row>
    <row r="5" spans="1:12" x14ac:dyDescent="0.25">
      <c r="A5" s="6"/>
      <c r="B5" s="7">
        <f>BASE_YR</f>
        <v>2018</v>
      </c>
      <c r="C5" s="91">
        <f>B5+1</f>
        <v>2019</v>
      </c>
      <c r="D5" s="91">
        <f t="shared" ref="D5:L5" si="0">C5+1</f>
        <v>2020</v>
      </c>
      <c r="E5" s="91">
        <f t="shared" si="0"/>
        <v>2021</v>
      </c>
      <c r="F5" s="91">
        <f t="shared" si="0"/>
        <v>2022</v>
      </c>
      <c r="G5" s="91">
        <f t="shared" si="0"/>
        <v>2023</v>
      </c>
      <c r="H5" s="91">
        <f t="shared" si="0"/>
        <v>2024</v>
      </c>
      <c r="I5" s="91">
        <f t="shared" si="0"/>
        <v>2025</v>
      </c>
      <c r="J5" s="91">
        <f t="shared" si="0"/>
        <v>2026</v>
      </c>
      <c r="K5" s="91">
        <f t="shared" si="0"/>
        <v>2027</v>
      </c>
      <c r="L5" s="91">
        <f t="shared" si="0"/>
        <v>2028</v>
      </c>
    </row>
    <row r="7" spans="1:12" x14ac:dyDescent="0.25">
      <c r="A7" s="100" t="s">
        <v>1000</v>
      </c>
    </row>
    <row r="8" spans="1:12" x14ac:dyDescent="0.25">
      <c r="A8" s="44"/>
    </row>
    <row r="9" spans="1:12" x14ac:dyDescent="0.25">
      <c r="A9" s="6" t="s">
        <v>1001</v>
      </c>
    </row>
    <row r="10" spans="1:12" x14ac:dyDescent="0.25">
      <c r="A10" s="115" t="s">
        <v>1002</v>
      </c>
      <c r="B10" s="122">
        <f>B14/B22</f>
        <v>3.4044152211581601E-2</v>
      </c>
      <c r="C10" s="122">
        <f t="shared" ref="C10:L10" si="1">C14/C22</f>
        <v>3.6936488691581643E-2</v>
      </c>
      <c r="D10" s="122">
        <f t="shared" si="1"/>
        <v>3.0003645003659467E-2</v>
      </c>
      <c r="E10" s="122">
        <f t="shared" si="1"/>
        <v>3.588621942806694E-2</v>
      </c>
      <c r="F10" s="122">
        <f t="shared" si="1"/>
        <v>3.6094025485746965E-2</v>
      </c>
      <c r="G10" s="122">
        <f t="shared" si="1"/>
        <v>3.2300628888461781E-2</v>
      </c>
      <c r="H10" s="122">
        <f t="shared" si="1"/>
        <v>3.0059895817089073E-2</v>
      </c>
      <c r="I10" s="122">
        <f t="shared" si="1"/>
        <v>2.3234337738256009E-2</v>
      </c>
      <c r="J10" s="122">
        <f t="shared" si="1"/>
        <v>2.4700913539949857E-2</v>
      </c>
      <c r="K10" s="122">
        <f t="shared" si="1"/>
        <v>2.0525431052271326E-2</v>
      </c>
      <c r="L10" s="122">
        <f t="shared" si="1"/>
        <v>1.7239457499245169E-2</v>
      </c>
    </row>
    <row r="11" spans="1:12" x14ac:dyDescent="0.25">
      <c r="A11" s="50" t="s">
        <v>1001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2" x14ac:dyDescent="0.25">
      <c r="A12" s="121" t="s">
        <v>1003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2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2" x14ac:dyDescent="0.25">
      <c r="A14" s="3" t="s">
        <v>1004</v>
      </c>
      <c r="B14" s="123">
        <f>SUBTOTAL(9,B15:B20)</f>
        <v>4872335.2339553265</v>
      </c>
      <c r="C14" s="123">
        <f t="shared" ref="C14:L14" si="2">SUBTOTAL(9,C15:C20)</f>
        <v>5568844.7196797132</v>
      </c>
      <c r="D14" s="123">
        <f t="shared" si="2"/>
        <v>4587124.7575470805</v>
      </c>
      <c r="E14" s="123">
        <f t="shared" si="2"/>
        <v>5733630.8530299664</v>
      </c>
      <c r="F14" s="123">
        <f t="shared" si="2"/>
        <v>5936901.2099758983</v>
      </c>
      <c r="G14" s="123">
        <f t="shared" si="2"/>
        <v>5470150.8309085667</v>
      </c>
      <c r="H14" s="123">
        <f t="shared" si="2"/>
        <v>5249897.6122590005</v>
      </c>
      <c r="I14" s="123">
        <f t="shared" si="2"/>
        <v>4183228.1990788877</v>
      </c>
      <c r="J14" s="123">
        <f t="shared" si="2"/>
        <v>4584615.7085875273</v>
      </c>
      <c r="K14" s="123">
        <f t="shared" si="2"/>
        <v>3921811.673742801</v>
      </c>
      <c r="L14" s="123">
        <f t="shared" si="2"/>
        <v>3391560.0643741488</v>
      </c>
    </row>
    <row r="15" spans="1:12" x14ac:dyDescent="0.25">
      <c r="A15" s="6" t="s">
        <v>1001</v>
      </c>
      <c r="B15" s="108">
        <f>'Income Statement'!B19</f>
        <v>148204620.06518489</v>
      </c>
      <c r="C15" s="108">
        <f>'Income Statement'!C19</f>
        <v>155910520.88409305</v>
      </c>
      <c r="D15" s="108">
        <f>'Income Statement'!D19</f>
        <v>158085300.52729774</v>
      </c>
      <c r="E15" s="108">
        <f>'Income Statement'!E19</f>
        <v>164980956.58206892</v>
      </c>
      <c r="F15" s="108">
        <f>'Income Statement'!F19</f>
        <v>169752991.23202297</v>
      </c>
      <c r="G15" s="108">
        <f>'Income Statement'!G19</f>
        <v>174681606.39256999</v>
      </c>
      <c r="H15" s="108">
        <f>'Income Statement'!H19</f>
        <v>180041546.32196417</v>
      </c>
      <c r="I15" s="108">
        <f>'Income Statement'!I19</f>
        <v>185503569.84138483</v>
      </c>
      <c r="J15" s="108">
        <f>'Income Statement'!J19</f>
        <v>191130059.3124401</v>
      </c>
      <c r="K15" s="108">
        <f>'Income Statement'!K19</f>
        <v>196663931.43798473</v>
      </c>
      <c r="L15" s="108">
        <f>'Income Statement'!L19</f>
        <v>202395315.20334768</v>
      </c>
    </row>
    <row r="16" spans="1:12" x14ac:dyDescent="0.25">
      <c r="A16" s="6" t="s">
        <v>1005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 x14ac:dyDescent="0.25">
      <c r="A17" s="6" t="s">
        <v>1006</v>
      </c>
      <c r="B17" s="108">
        <f>'Note 3'!C137</f>
        <v>-1545495</v>
      </c>
      <c r="C17" s="108">
        <f>'Note 3'!D137</f>
        <v>-1584132.3749999998</v>
      </c>
      <c r="D17" s="108">
        <f>'Note 3'!E137</f>
        <v>-1623735.6843749997</v>
      </c>
      <c r="E17" s="108">
        <f>'Note 3'!F137</f>
        <v>-1664329.0764843745</v>
      </c>
      <c r="F17" s="108">
        <f>'Note 3'!G137</f>
        <v>-1705937.3033964837</v>
      </c>
      <c r="G17" s="108">
        <f>'Note 3'!H137</f>
        <v>-1748585.7359813957</v>
      </c>
      <c r="H17" s="108">
        <f>'Note 3'!I137</f>
        <v>-1792300.3793809304</v>
      </c>
      <c r="I17" s="108">
        <f>'Note 3'!J137</f>
        <v>-1837107.8888654537</v>
      </c>
      <c r="J17" s="108">
        <f>'Note 3'!K137</f>
        <v>-1883035.5860870897</v>
      </c>
      <c r="K17" s="108">
        <f>'Note 3'!L137</f>
        <v>-1930111.4757392667</v>
      </c>
      <c r="L17" s="108">
        <f>'Note 3'!M137</f>
        <v>-1978364.2626327481</v>
      </c>
    </row>
    <row r="18" spans="1:12" x14ac:dyDescent="0.25">
      <c r="A18" s="6" t="s">
        <v>1007</v>
      </c>
      <c r="B18" s="108">
        <f>'Note 3'!C145+'Note 3'!C151</f>
        <v>-3541000</v>
      </c>
      <c r="C18" s="108">
        <f>'Note 3'!D145+'Note 3'!D151</f>
        <v>-3558275</v>
      </c>
      <c r="D18" s="108">
        <f>'Note 3'!E145+'Note 3'!E151</f>
        <v>-3575981.875</v>
      </c>
      <c r="E18" s="108">
        <f>'Note 3'!F145+'Note 3'!F151</f>
        <v>-3544131.421875</v>
      </c>
      <c r="F18" s="108">
        <f>'Note 3'!G145+'Note 3'!G151</f>
        <v>-3562734.7074218746</v>
      </c>
      <c r="G18" s="108">
        <f>'Note 3'!H145+'Note 3'!H151</f>
        <v>-3581803.0751074217</v>
      </c>
      <c r="H18" s="108">
        <f>'Note 3'!I145+'Note 3'!I151</f>
        <v>-3601348.151985107</v>
      </c>
      <c r="I18" s="108">
        <f>'Note 3'!J145+'Note 3'!J151</f>
        <v>-3621381.8557847347</v>
      </c>
      <c r="J18" s="108">
        <f>'Note 3'!K145+'Note 3'!K151</f>
        <v>-3641916.4021793529</v>
      </c>
      <c r="K18" s="108">
        <f>'Note 3'!L145+'Note 3'!L151</f>
        <v>-3662964.3122338364</v>
      </c>
      <c r="L18" s="108">
        <f>'Note 3'!M145+'Note 3'!M151</f>
        <v>-3684538.4200396826</v>
      </c>
    </row>
    <row r="19" spans="1:12" x14ac:dyDescent="0.25">
      <c r="A19" s="6" t="s">
        <v>878</v>
      </c>
      <c r="B19" s="108">
        <f>-'Income Statement'!B30</f>
        <v>-138113732.76604468</v>
      </c>
      <c r="C19" s="108">
        <f>-'Income Statement'!C30</f>
        <v>-145199268.78941333</v>
      </c>
      <c r="D19" s="108">
        <f>-'Income Statement'!D30</f>
        <v>-148298458.21037567</v>
      </c>
      <c r="E19" s="108">
        <f>-'Income Statement'!E30</f>
        <v>-154038865.23067957</v>
      </c>
      <c r="F19" s="108">
        <f>-'Income Statement'!F30</f>
        <v>-158547418.01122871</v>
      </c>
      <c r="G19" s="108">
        <f>-'Income Statement'!G30</f>
        <v>-163881066.75057259</v>
      </c>
      <c r="H19" s="108">
        <f>-'Income Statement'!H30</f>
        <v>-169398000.17833912</v>
      </c>
      <c r="I19" s="108">
        <f>-'Income Statement'!I30</f>
        <v>-175861851.89765576</v>
      </c>
      <c r="J19" s="108">
        <f>-'Income Statement'!J30</f>
        <v>-181020491.61558613</v>
      </c>
      <c r="K19" s="108">
        <f>-'Income Statement'!K30</f>
        <v>-187149043.97626883</v>
      </c>
      <c r="L19" s="108">
        <f>-'Income Statement'!L30</f>
        <v>-193340852.45630109</v>
      </c>
    </row>
    <row r="20" spans="1:12" x14ac:dyDescent="0.25">
      <c r="A20" s="6" t="s">
        <v>1008</v>
      </c>
      <c r="B20" s="108">
        <f>-'Income Statement'!B17</f>
        <v>-132057.06518488866</v>
      </c>
      <c r="C20" s="108"/>
      <c r="D20" s="108"/>
      <c r="E20" s="108"/>
      <c r="F20" s="108"/>
      <c r="G20" s="108"/>
      <c r="H20" s="108"/>
      <c r="I20" s="108"/>
      <c r="J20" s="108"/>
      <c r="K20" s="108"/>
      <c r="L20" s="108"/>
    </row>
    <row r="21" spans="1:12" x14ac:dyDescent="0.25">
      <c r="A21" s="6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 x14ac:dyDescent="0.25">
      <c r="A22" s="3" t="s">
        <v>1009</v>
      </c>
      <c r="B22" s="123">
        <f>SUBTOTAL(9,B23:B26)</f>
        <v>143118125.06518489</v>
      </c>
      <c r="C22" s="123">
        <f t="shared" ref="C22:L22" si="3">SUBTOTAL(9,C23:C26)</f>
        <v>150768113.50909305</v>
      </c>
      <c r="D22" s="123">
        <f t="shared" si="3"/>
        <v>152885582.96792275</v>
      </c>
      <c r="E22" s="123">
        <f t="shared" si="3"/>
        <v>159772496.08370954</v>
      </c>
      <c r="F22" s="123">
        <f t="shared" si="3"/>
        <v>164484319.22120461</v>
      </c>
      <c r="G22" s="123">
        <f t="shared" si="3"/>
        <v>169351217.58148116</v>
      </c>
      <c r="H22" s="123">
        <f t="shared" si="3"/>
        <v>174647897.79059812</v>
      </c>
      <c r="I22" s="123">
        <f t="shared" si="3"/>
        <v>180045080.09673464</v>
      </c>
      <c r="J22" s="123">
        <f t="shared" si="3"/>
        <v>185605107.32417366</v>
      </c>
      <c r="K22" s="123">
        <f t="shared" si="3"/>
        <v>191070855.65001163</v>
      </c>
      <c r="L22" s="123">
        <f t="shared" si="3"/>
        <v>196732412.52067524</v>
      </c>
    </row>
    <row r="23" spans="1:12" x14ac:dyDescent="0.25">
      <c r="A23" s="6" t="s">
        <v>1001</v>
      </c>
      <c r="B23" s="108">
        <f>'Income Statement'!B19</f>
        <v>148204620.06518489</v>
      </c>
      <c r="C23" s="108">
        <f>'Income Statement'!C19</f>
        <v>155910520.88409305</v>
      </c>
      <c r="D23" s="108">
        <f>'Income Statement'!D19</f>
        <v>158085300.52729774</v>
      </c>
      <c r="E23" s="108">
        <f>'Income Statement'!E19</f>
        <v>164980956.58206892</v>
      </c>
      <c r="F23" s="108">
        <f>'Income Statement'!F19</f>
        <v>169752991.23202297</v>
      </c>
      <c r="G23" s="108">
        <f>'Income Statement'!G19</f>
        <v>174681606.39256999</v>
      </c>
      <c r="H23" s="108">
        <f>'Income Statement'!H19</f>
        <v>180041546.32196417</v>
      </c>
      <c r="I23" s="108">
        <f>'Income Statement'!I19</f>
        <v>185503569.84138483</v>
      </c>
      <c r="J23" s="108">
        <f>'Income Statement'!J19</f>
        <v>191130059.3124401</v>
      </c>
      <c r="K23" s="108">
        <f>'Income Statement'!K19</f>
        <v>196663931.43798473</v>
      </c>
      <c r="L23" s="108">
        <f>'Income Statement'!L19</f>
        <v>202395315.20334768</v>
      </c>
    </row>
    <row r="24" spans="1:12" x14ac:dyDescent="0.25">
      <c r="A24" s="6" t="s">
        <v>1005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 x14ac:dyDescent="0.25">
      <c r="A25" s="6" t="s">
        <v>1006</v>
      </c>
      <c r="B25" s="108">
        <f>'Note 3'!C137</f>
        <v>-1545495</v>
      </c>
      <c r="C25" s="108">
        <f>'Note 3'!D137</f>
        <v>-1584132.3749999998</v>
      </c>
      <c r="D25" s="108">
        <f>'Note 3'!E137</f>
        <v>-1623735.6843749997</v>
      </c>
      <c r="E25" s="108">
        <f>'Note 3'!F137</f>
        <v>-1664329.0764843745</v>
      </c>
      <c r="F25" s="108">
        <f>'Note 3'!G137</f>
        <v>-1705937.3033964837</v>
      </c>
      <c r="G25" s="108">
        <f>'Note 3'!H137</f>
        <v>-1748585.7359813957</v>
      </c>
      <c r="H25" s="108">
        <f>'Note 3'!I137</f>
        <v>-1792300.3793809304</v>
      </c>
      <c r="I25" s="108">
        <f>'Note 3'!J137</f>
        <v>-1837107.8888654537</v>
      </c>
      <c r="J25" s="108">
        <f>'Note 3'!K137</f>
        <v>-1883035.5860870897</v>
      </c>
      <c r="K25" s="108">
        <f>'Note 3'!L137</f>
        <v>-1930111.4757392667</v>
      </c>
      <c r="L25" s="108">
        <f>'Note 3'!M137</f>
        <v>-1978364.2626327481</v>
      </c>
    </row>
    <row r="26" spans="1:12" x14ac:dyDescent="0.25">
      <c r="A26" s="6" t="s">
        <v>1007</v>
      </c>
      <c r="B26" s="108">
        <f>'Note 3'!C145+'Note 3'!C151</f>
        <v>-3541000</v>
      </c>
      <c r="C26" s="108">
        <f>'Note 3'!D145+'Note 3'!D151</f>
        <v>-3558275</v>
      </c>
      <c r="D26" s="108">
        <f>'Note 3'!E145+'Note 3'!E151</f>
        <v>-3575981.875</v>
      </c>
      <c r="E26" s="108">
        <f>'Note 3'!F145+'Note 3'!F151</f>
        <v>-3544131.421875</v>
      </c>
      <c r="F26" s="108">
        <f>'Note 3'!G145+'Note 3'!G151</f>
        <v>-3562734.7074218746</v>
      </c>
      <c r="G26" s="108">
        <f>'Note 3'!H145+'Note 3'!H151</f>
        <v>-3581803.0751074217</v>
      </c>
      <c r="H26" s="108">
        <f>'Note 3'!I145+'Note 3'!I151</f>
        <v>-3601348.151985107</v>
      </c>
      <c r="I26" s="108">
        <f>'Note 3'!J145+'Note 3'!J151</f>
        <v>-3621381.8557847347</v>
      </c>
      <c r="J26" s="108">
        <f>'Note 3'!K145+'Note 3'!K151</f>
        <v>-3641916.4021793529</v>
      </c>
      <c r="K26" s="108">
        <f>'Note 3'!L145+'Note 3'!L151</f>
        <v>-3662964.3122338364</v>
      </c>
      <c r="L26" s="108">
        <f>'Note 3'!M145+'Note 3'!M151</f>
        <v>-3684538.4200396826</v>
      </c>
    </row>
    <row r="28" spans="1:12" x14ac:dyDescent="0.25">
      <c r="A28" s="100" t="s">
        <v>1010</v>
      </c>
    </row>
    <row r="29" spans="1:12" x14ac:dyDescent="0.25">
      <c r="A29" s="44"/>
    </row>
    <row r="30" spans="1:12" x14ac:dyDescent="0.25">
      <c r="A30" s="115" t="s">
        <v>1011</v>
      </c>
      <c r="B30" s="122">
        <f>B33/B41</f>
        <v>0.92117447445264078</v>
      </c>
      <c r="C30" s="122">
        <f t="shared" ref="C30:L30" si="4">C33/C41</f>
        <v>0.92159617464758814</v>
      </c>
      <c r="D30" s="122">
        <f t="shared" si="4"/>
        <v>0.92137326658588559</v>
      </c>
      <c r="E30" s="122">
        <f t="shared" si="4"/>
        <v>0.9236843796300932</v>
      </c>
      <c r="F30" s="122">
        <f t="shared" si="4"/>
        <v>0.92455632410891597</v>
      </c>
      <c r="G30" s="122">
        <f t="shared" si="4"/>
        <v>0.92541653547613456</v>
      </c>
      <c r="H30" s="122">
        <f t="shared" si="4"/>
        <v>0.92637550249384448</v>
      </c>
      <c r="I30" s="122">
        <f t="shared" si="4"/>
        <v>0.92728843386047166</v>
      </c>
      <c r="J30" s="122">
        <f t="shared" si="4"/>
        <v>0.92818052003849261</v>
      </c>
      <c r="K30" s="122">
        <f t="shared" si="4"/>
        <v>0.92895782719640185</v>
      </c>
      <c r="L30" s="122">
        <f t="shared" si="4"/>
        <v>0.92973098803102461</v>
      </c>
    </row>
    <row r="31" spans="1:12" x14ac:dyDescent="0.25">
      <c r="A31" s="50" t="s">
        <v>1012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x14ac:dyDescent="0.25">
      <c r="A33" s="3" t="s">
        <v>1004</v>
      </c>
      <c r="B33" s="123">
        <f>SUBTOTAL(9,B34:B38)</f>
        <v>136522313</v>
      </c>
      <c r="C33" s="123">
        <f t="shared" ref="C33:L33" si="5">SUBTOTAL(9,C34:C38)</f>
        <v>143686539.63409305</v>
      </c>
      <c r="D33" s="123">
        <f t="shared" si="5"/>
        <v>145655569.74604774</v>
      </c>
      <c r="E33" s="123">
        <f t="shared" si="5"/>
        <v>152390332.53128767</v>
      </c>
      <c r="F33" s="123">
        <f t="shared" si="5"/>
        <v>156946201.57997221</v>
      </c>
      <c r="G33" s="123">
        <f t="shared" si="5"/>
        <v>161653246.99921793</v>
      </c>
      <c r="H33" s="123">
        <f t="shared" si="5"/>
        <v>166786077.94377834</v>
      </c>
      <c r="I33" s="123">
        <f t="shared" si="5"/>
        <v>172015314.75374436</v>
      </c>
      <c r="J33" s="123">
        <f t="shared" si="5"/>
        <v>177403197.8476086</v>
      </c>
      <c r="K33" s="123">
        <f t="shared" si="5"/>
        <v>182692498.43653244</v>
      </c>
      <c r="L33" s="123">
        <f t="shared" si="5"/>
        <v>188173196.3768591</v>
      </c>
    </row>
    <row r="34" spans="1:12" x14ac:dyDescent="0.25">
      <c r="A34" s="6" t="s">
        <v>1001</v>
      </c>
      <c r="B34" s="108">
        <f>'Income Statement'!B19</f>
        <v>148204620.06518489</v>
      </c>
      <c r="C34" s="108">
        <f>'Income Statement'!C19</f>
        <v>155910520.88409305</v>
      </c>
      <c r="D34" s="108">
        <f>'Income Statement'!D19</f>
        <v>158085300.52729774</v>
      </c>
      <c r="E34" s="108">
        <f>'Income Statement'!E19</f>
        <v>164980956.58206892</v>
      </c>
      <c r="F34" s="108">
        <f>'Income Statement'!F19</f>
        <v>169752991.23202297</v>
      </c>
      <c r="G34" s="108">
        <f>'Income Statement'!G19</f>
        <v>174681606.39256999</v>
      </c>
      <c r="H34" s="108">
        <f>'Income Statement'!H19</f>
        <v>180041546.32196417</v>
      </c>
      <c r="I34" s="108">
        <f>'Income Statement'!I19</f>
        <v>185503569.84138483</v>
      </c>
      <c r="J34" s="108">
        <f>'Income Statement'!J19</f>
        <v>191130059.3124401</v>
      </c>
      <c r="K34" s="108">
        <f>'Income Statement'!K19</f>
        <v>196663931.43798473</v>
      </c>
      <c r="L34" s="108">
        <f>'Income Statement'!L19</f>
        <v>202395315.20334768</v>
      </c>
    </row>
    <row r="35" spans="1:12" x14ac:dyDescent="0.25">
      <c r="A35" s="6" t="s">
        <v>1005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 x14ac:dyDescent="0.25">
      <c r="A36" s="6" t="s">
        <v>1013</v>
      </c>
      <c r="B36" s="108">
        <f>'Note 3'!C104+'Note 3'!C116+'Note 3'!C137</f>
        <v>-7365250</v>
      </c>
      <c r="C36" s="108">
        <f>'Note 3'!D104+'Note 3'!D116+'Note 3'!D137</f>
        <v>-8005606.25</v>
      </c>
      <c r="D36" s="108">
        <f>'Note 3'!E104+'Note 3'!E116+'Note 3'!E137</f>
        <v>-8177146.4062499981</v>
      </c>
      <c r="E36" s="108">
        <f>'Note 3'!F104+'Note 3'!F116+'Note 3'!F137</f>
        <v>-8352975.0664062481</v>
      </c>
      <c r="F36" s="108">
        <f>'Note 3'!G104+'Note 3'!G116+'Note 3'!G137</f>
        <v>-8533199.4430664033</v>
      </c>
      <c r="G36" s="108">
        <f>'Note 3'!H104+'Note 3'!H116+'Note 3'!H137</f>
        <v>-8717929.4291430619</v>
      </c>
      <c r="H36" s="108">
        <f>'Note 3'!I104+'Note 3'!I116+'Note 3'!I137</f>
        <v>-8907277.6648716386</v>
      </c>
      <c r="I36" s="108">
        <f>'Note 3'!J104+'Note 3'!J116+'Note 3'!J137</f>
        <v>-9101359.6064934283</v>
      </c>
      <c r="J36" s="108">
        <f>'Note 3'!K104+'Note 3'!K116+'Note 3'!K137</f>
        <v>-9300293.5966557618</v>
      </c>
      <c r="K36" s="108">
        <f>'Note 3'!L104+'Note 3'!L116+'Note 3'!L137</f>
        <v>-9504200.9365721568</v>
      </c>
      <c r="L36" s="108">
        <f>'Note 3'!M104+'Note 3'!M116+'Note 3'!M137</f>
        <v>-9713205.9599864595</v>
      </c>
    </row>
    <row r="37" spans="1:12" x14ac:dyDescent="0.25">
      <c r="A37" s="6" t="s">
        <v>1014</v>
      </c>
      <c r="B37" s="108">
        <f>'Note 3'!C126+'Note 3'!C145+'Note 3'!C151</f>
        <v>-4185000</v>
      </c>
      <c r="C37" s="108">
        <f>'Note 3'!D126+'Note 3'!D145+'Note 3'!D151</f>
        <v>-4218375</v>
      </c>
      <c r="D37" s="108">
        <f>'Note 3'!E126+'Note 3'!E145+'Note 3'!E151</f>
        <v>-4252584.375</v>
      </c>
      <c r="E37" s="108">
        <f>'Note 3'!F126+'Note 3'!F145+'Note 3'!F151</f>
        <v>-4237648.984375</v>
      </c>
      <c r="F37" s="108">
        <f>'Note 3'!G126+'Note 3'!G145+'Note 3'!G151</f>
        <v>-4273590.2089843741</v>
      </c>
      <c r="G37" s="108">
        <f>'Note 3'!H126+'Note 3'!H145+'Note 3'!H151</f>
        <v>-4310429.9642089838</v>
      </c>
      <c r="H37" s="108">
        <f>'Note 3'!I126+'Note 3'!I145+'Note 3'!I151</f>
        <v>-4348190.7133142082</v>
      </c>
      <c r="I37" s="108">
        <f>'Note 3'!J126+'Note 3'!J145+'Note 3'!J151</f>
        <v>-4386895.481147063</v>
      </c>
      <c r="J37" s="108">
        <f>'Note 3'!K126+'Note 3'!K145+'Note 3'!K151</f>
        <v>-4426567.8681757394</v>
      </c>
      <c r="K37" s="108">
        <f>'Note 3'!L126+'Note 3'!L145+'Note 3'!L151</f>
        <v>-4467232.0648801327</v>
      </c>
      <c r="L37" s="108">
        <f>'Note 3'!M126+'Note 3'!M145+'Note 3'!M151</f>
        <v>-4508912.866502136</v>
      </c>
    </row>
    <row r="38" spans="1:12" x14ac:dyDescent="0.25">
      <c r="A38" s="6" t="s">
        <v>1008</v>
      </c>
      <c r="B38" s="108">
        <f>-'Income Statement'!B17</f>
        <v>-132057.06518488866</v>
      </c>
      <c r="C38" s="108">
        <f>-'Income Statement'!C17</f>
        <v>0</v>
      </c>
      <c r="D38" s="108">
        <f>-'Income Statement'!D17</f>
        <v>0</v>
      </c>
      <c r="E38" s="108">
        <f>-'Income Statement'!E17</f>
        <v>0</v>
      </c>
      <c r="F38" s="108">
        <f>-'Income Statement'!F17</f>
        <v>0</v>
      </c>
      <c r="G38" s="108">
        <f>-'Income Statement'!G17</f>
        <v>0</v>
      </c>
      <c r="H38" s="108">
        <f>-'Income Statement'!H17</f>
        <v>0</v>
      </c>
      <c r="I38" s="108">
        <f>-'Income Statement'!I17</f>
        <v>0</v>
      </c>
      <c r="J38" s="108">
        <f>-'Income Statement'!J17</f>
        <v>0</v>
      </c>
      <c r="K38" s="108">
        <f>-'Income Statement'!K17</f>
        <v>0</v>
      </c>
      <c r="L38" s="108">
        <f>-'Income Statement'!L17</f>
        <v>0</v>
      </c>
    </row>
    <row r="39" spans="1:12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 x14ac:dyDescent="0.25">
      <c r="A40" s="3" t="s">
        <v>1009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 x14ac:dyDescent="0.25">
      <c r="A41" s="6" t="s">
        <v>1001</v>
      </c>
      <c r="B41" s="108">
        <f>'Income Statement'!B19</f>
        <v>148204620.06518489</v>
      </c>
      <c r="C41" s="108">
        <f>'Income Statement'!C19</f>
        <v>155910520.88409305</v>
      </c>
      <c r="D41" s="108">
        <f>'Income Statement'!D19</f>
        <v>158085300.52729774</v>
      </c>
      <c r="E41" s="108">
        <f>'Income Statement'!E19</f>
        <v>164980956.58206892</v>
      </c>
      <c r="F41" s="108">
        <f>'Income Statement'!F19</f>
        <v>169752991.23202297</v>
      </c>
      <c r="G41" s="108">
        <f>'Income Statement'!G19</f>
        <v>174681606.39256999</v>
      </c>
      <c r="H41" s="108">
        <f>'Income Statement'!H19</f>
        <v>180041546.32196417</v>
      </c>
      <c r="I41" s="108">
        <f>'Income Statement'!I19</f>
        <v>185503569.84138483</v>
      </c>
      <c r="J41" s="108">
        <f>'Income Statement'!J19</f>
        <v>191130059.3124401</v>
      </c>
      <c r="K41" s="108">
        <f>'Income Statement'!K19</f>
        <v>196663931.43798473</v>
      </c>
      <c r="L41" s="108">
        <f>'Income Statement'!L19</f>
        <v>202395315.20334768</v>
      </c>
    </row>
    <row r="43" spans="1:12" x14ac:dyDescent="0.25">
      <c r="A43" s="100" t="s">
        <v>1015</v>
      </c>
    </row>
    <row r="44" spans="1:12" x14ac:dyDescent="0.25">
      <c r="A44" s="44"/>
    </row>
    <row r="45" spans="1:12" x14ac:dyDescent="0.25">
      <c r="A45" s="115" t="s">
        <v>1016</v>
      </c>
      <c r="B45" s="124">
        <f>B48/B54</f>
        <v>2.3551033769695668</v>
      </c>
      <c r="C45" s="124">
        <f t="shared" ref="C45:L45" si="6">C48/C54</f>
        <v>1.8288741521359015</v>
      </c>
      <c r="D45" s="124">
        <f t="shared" si="6"/>
        <v>1.6867525486207726</v>
      </c>
      <c r="E45" s="124">
        <f t="shared" si="6"/>
        <v>1.5553109643750089</v>
      </c>
      <c r="F45" s="124">
        <f t="shared" si="6"/>
        <v>1.5325466339312646</v>
      </c>
      <c r="G45" s="124">
        <f t="shared" si="6"/>
        <v>1.5537098752709935</v>
      </c>
      <c r="H45" s="124">
        <f t="shared" si="6"/>
        <v>1.6135417345923442</v>
      </c>
      <c r="I45" s="124">
        <f t="shared" si="6"/>
        <v>1.6488950958835757</v>
      </c>
      <c r="J45" s="124">
        <f t="shared" si="6"/>
        <v>1.6517427434408385</v>
      </c>
      <c r="K45" s="124">
        <f t="shared" si="6"/>
        <v>1.6478728484293721</v>
      </c>
      <c r="L45" s="124">
        <f t="shared" si="6"/>
        <v>1.6257687853975229</v>
      </c>
    </row>
    <row r="46" spans="1:12" x14ac:dyDescent="0.25">
      <c r="A46" s="50" t="s">
        <v>1017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1:1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1:12" x14ac:dyDescent="0.25">
      <c r="A48" s="3" t="s">
        <v>1004</v>
      </c>
      <c r="B48" s="123">
        <f>SUBTOTAL(9,B49:B52)</f>
        <v>42310637.770000003</v>
      </c>
      <c r="C48" s="123">
        <f t="shared" ref="C48:L48" si="7">SUBTOTAL(9,C49:C52)</f>
        <v>38809485.460508421</v>
      </c>
      <c r="D48" s="123">
        <f t="shared" si="7"/>
        <v>36871677.67825827</v>
      </c>
      <c r="E48" s="123">
        <f t="shared" si="7"/>
        <v>35033322.967875481</v>
      </c>
      <c r="F48" s="123">
        <f t="shared" si="7"/>
        <v>35470343.775038235</v>
      </c>
      <c r="G48" s="123">
        <f t="shared" si="7"/>
        <v>36957128.665512197</v>
      </c>
      <c r="H48" s="123">
        <f t="shared" si="7"/>
        <v>39452328.038361281</v>
      </c>
      <c r="I48" s="123">
        <f t="shared" si="7"/>
        <v>41451063.364314459</v>
      </c>
      <c r="J48" s="123">
        <f t="shared" si="7"/>
        <v>42699215.437274203</v>
      </c>
      <c r="K48" s="123">
        <f t="shared" si="7"/>
        <v>43814633.695643321</v>
      </c>
      <c r="L48" s="123">
        <f t="shared" si="7"/>
        <v>44468652.759380944</v>
      </c>
    </row>
    <row r="49" spans="1:12" x14ac:dyDescent="0.25">
      <c r="A49" s="6" t="s">
        <v>887</v>
      </c>
      <c r="B49" s="108">
        <f>'Balance Sheet'!B16</f>
        <v>50162859.420000002</v>
      </c>
      <c r="C49" s="108">
        <f>'Balance Sheet'!C16</f>
        <v>45753783.67158094</v>
      </c>
      <c r="D49" s="108">
        <f>'Balance Sheet'!D16</f>
        <v>44777404.130732231</v>
      </c>
      <c r="E49" s="108">
        <f>'Balance Sheet'!E16</f>
        <v>43374434.46815788</v>
      </c>
      <c r="F49" s="108">
        <f>'Balance Sheet'!F16</f>
        <v>44067791.339868061</v>
      </c>
      <c r="G49" s="108">
        <f>'Balance Sheet'!G16</f>
        <v>45042174.778462291</v>
      </c>
      <c r="H49" s="108">
        <f>'Balance Sheet'!H16</f>
        <v>46764584.434366927</v>
      </c>
      <c r="I49" s="108">
        <f>'Balance Sheet'!I16</f>
        <v>49259291.739523306</v>
      </c>
      <c r="J49" s="108">
        <f>'Balance Sheet'!J16</f>
        <v>51616805.769385815</v>
      </c>
      <c r="K49" s="108">
        <f>'Balance Sheet'!K16</f>
        <v>53157618.658738218</v>
      </c>
      <c r="L49" s="108">
        <f>'Balance Sheet'!L16</f>
        <v>55099307.236769222</v>
      </c>
    </row>
    <row r="50" spans="1:12" x14ac:dyDescent="0.25">
      <c r="A50" s="6" t="s">
        <v>1005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</row>
    <row r="51" spans="1:12" x14ac:dyDescent="0.25">
      <c r="A51" s="6" t="s">
        <v>1018</v>
      </c>
      <c r="B51" s="108">
        <f>-'Note 6 to 8'!B30</f>
        <v>-7181916</v>
      </c>
      <c r="C51" s="108">
        <f>-'Note 6 to 8'!C30</f>
        <v>-6218906.2369681634</v>
      </c>
      <c r="D51" s="108">
        <f>-'Note 6 to 8'!D30</f>
        <v>-7136123.5226476043</v>
      </c>
      <c r="E51" s="108">
        <f>-'Note 6 to 8'!E30</f>
        <v>-7524628.3388306275</v>
      </c>
      <c r="F51" s="108">
        <f>-'Note 6 to 8'!F30</f>
        <v>-7755912.7761187218</v>
      </c>
      <c r="G51" s="108">
        <f>-'Note 6 to 8'!G30</f>
        <v>-7217718.0729577206</v>
      </c>
      <c r="H51" s="108">
        <f>-'Note 6 to 8'!H30</f>
        <v>-6418372.0692938678</v>
      </c>
      <c r="I51" s="108">
        <f>-'Note 6 to 8'!I30</f>
        <v>-6887002.7081286293</v>
      </c>
      <c r="J51" s="108">
        <f>-'Note 6 to 8'!J30</f>
        <v>-7968215.6290563252</v>
      </c>
      <c r="K51" s="108">
        <f>-'Note 6 to 8'!K30</f>
        <v>-8364630.2453333586</v>
      </c>
      <c r="L51" s="108">
        <f>-'Note 6 to 8'!L30</f>
        <v>-9622464.8239964899</v>
      </c>
    </row>
    <row r="52" spans="1:12" x14ac:dyDescent="0.25">
      <c r="A52" s="6" t="s">
        <v>1019</v>
      </c>
      <c r="B52" s="108">
        <f>-'Note 6 to 8'!B92</f>
        <v>-670305.65000000084</v>
      </c>
      <c r="C52" s="108">
        <f>-'Note 6 to 8'!C92</f>
        <v>-725391.97410435975</v>
      </c>
      <c r="D52" s="108">
        <f>-'Note 6 to 8'!D92</f>
        <v>-769602.92982635845</v>
      </c>
      <c r="E52" s="108">
        <f>-'Note 6 to 8'!E92</f>
        <v>-816483.16145177162</v>
      </c>
      <c r="F52" s="108">
        <f>-'Note 6 to 8'!F92</f>
        <v>-841534.7887111085</v>
      </c>
      <c r="G52" s="108">
        <f>-'Note 6 to 8'!G92</f>
        <v>-867328.03999237309</v>
      </c>
      <c r="H52" s="108">
        <f>-'Note 6 to 8'!H92</f>
        <v>-893884.3267117762</v>
      </c>
      <c r="I52" s="108">
        <f>-'Note 6 to 8'!I92</f>
        <v>-921225.66708021378</v>
      </c>
      <c r="J52" s="108">
        <f>-'Note 6 to 8'!J92</f>
        <v>-949374.70305528503</v>
      </c>
      <c r="K52" s="108">
        <f>-'Note 6 to 8'!K92</f>
        <v>-978354.71776154253</v>
      </c>
      <c r="L52" s="108">
        <f>-'Note 6 to 8'!L92</f>
        <v>-1008189.653391788</v>
      </c>
    </row>
    <row r="53" spans="1:1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</row>
    <row r="54" spans="1:12" x14ac:dyDescent="0.25">
      <c r="A54" s="3" t="s">
        <v>1009</v>
      </c>
      <c r="B54" s="123">
        <f>SUBTOTAL(9,B55:B58)</f>
        <v>17965511.910752423</v>
      </c>
      <c r="C54" s="123">
        <f t="shared" ref="C54:L54" si="8">SUBTOTAL(9,C55:C58)</f>
        <v>21220424.278610796</v>
      </c>
      <c r="D54" s="123">
        <f t="shared" si="8"/>
        <v>21859565.416638963</v>
      </c>
      <c r="E54" s="123">
        <f t="shared" si="8"/>
        <v>22524963.669855811</v>
      </c>
      <c r="F54" s="123">
        <f t="shared" si="8"/>
        <v>23144707.632191438</v>
      </c>
      <c r="G54" s="123">
        <f t="shared" si="8"/>
        <v>23786376.886525385</v>
      </c>
      <c r="H54" s="123">
        <f t="shared" si="8"/>
        <v>24450763.926678833</v>
      </c>
      <c r="I54" s="123">
        <f t="shared" si="8"/>
        <v>25138690.428394124</v>
      </c>
      <c r="J54" s="123">
        <f t="shared" si="8"/>
        <v>25851008.34063606</v>
      </c>
      <c r="K54" s="123">
        <f t="shared" si="8"/>
        <v>26588601.018218197</v>
      </c>
      <c r="L54" s="123">
        <f t="shared" si="8"/>
        <v>27352384.397334673</v>
      </c>
    </row>
    <row r="55" spans="1:12" x14ac:dyDescent="0.25">
      <c r="A55" s="6" t="s">
        <v>899</v>
      </c>
      <c r="B55" s="108">
        <f>'Balance Sheet'!B36</f>
        <v>38288103.609999999</v>
      </c>
      <c r="C55" s="108">
        <f>'Balance Sheet'!C36</f>
        <v>42254068.224545211</v>
      </c>
      <c r="D55" s="108">
        <f>'Balance Sheet'!D36</f>
        <v>43630293.199334264</v>
      </c>
      <c r="E55" s="108">
        <f>'Balance Sheet'!E36</f>
        <v>45059793.402755797</v>
      </c>
      <c r="F55" s="108">
        <f>'Balance Sheet'!F36</f>
        <v>46471682.269123077</v>
      </c>
      <c r="G55" s="108">
        <f>'Balance Sheet'!G36</f>
        <v>47934604.051928431</v>
      </c>
      <c r="H55" s="108">
        <f>'Balance Sheet'!H36</f>
        <v>49450457.319464996</v>
      </c>
      <c r="I55" s="108">
        <f>'Balance Sheet'!I36</f>
        <v>51021212.862278134</v>
      </c>
      <c r="J55" s="108">
        <f>'Balance Sheet'!J36</f>
        <v>52648916.486307681</v>
      </c>
      <c r="K55" s="108">
        <f>'Balance Sheet'!K36</f>
        <v>54335691.915353164</v>
      </c>
      <c r="L55" s="108">
        <f>'Balance Sheet'!L36</f>
        <v>56083743.807177573</v>
      </c>
    </row>
    <row r="56" spans="1:12" x14ac:dyDescent="0.25">
      <c r="A56" s="6" t="s">
        <v>1005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</row>
    <row r="57" spans="1:12" x14ac:dyDescent="0.25">
      <c r="A57" s="6" t="s">
        <v>1020</v>
      </c>
      <c r="B57" s="108">
        <f>-'Note 10 to 11'!B44</f>
        <v>-2851771.44</v>
      </c>
      <c r="C57" s="108">
        <f>-'Note 10 to 11'!C44</f>
        <v>-2923065.7260000003</v>
      </c>
      <c r="D57" s="108">
        <f>-'Note 10 to 11'!D44</f>
        <v>-2996142.3691500006</v>
      </c>
      <c r="E57" s="108">
        <f>-'Note 10 to 11'!E44</f>
        <v>-3071045.928378751</v>
      </c>
      <c r="F57" s="108">
        <f>-'Note 10 to 11'!F44</f>
        <v>-3147822.0765882204</v>
      </c>
      <c r="G57" s="108">
        <f>-'Note 10 to 11'!G44</f>
        <v>-3226517.6285029263</v>
      </c>
      <c r="H57" s="108">
        <f>-'Note 10 to 11'!H44</f>
        <v>-3307180.5692154998</v>
      </c>
      <c r="I57" s="108">
        <f>-'Note 10 to 11'!I44</f>
        <v>-3389860.0834458875</v>
      </c>
      <c r="J57" s="108">
        <f>-'Note 10 to 11'!J44</f>
        <v>-3474606.5855320352</v>
      </c>
      <c r="K57" s="108">
        <f>-'Note 10 to 11'!K44</f>
        <v>-3561471.7501703366</v>
      </c>
      <c r="L57" s="108">
        <f>-'Note 10 to 11'!L44</f>
        <v>-3650508.5439245952</v>
      </c>
    </row>
    <row r="58" spans="1:12" x14ac:dyDescent="0.25">
      <c r="A58" s="6" t="s">
        <v>1021</v>
      </c>
      <c r="B58" s="108">
        <f>-'Note 10 to 11'!B52</f>
        <v>-17470820.259247579</v>
      </c>
      <c r="C58" s="108">
        <f>-'Note 10 to 11'!C52</f>
        <v>-18110578.219934411</v>
      </c>
      <c r="D58" s="108">
        <f>-'Note 10 to 11'!D52</f>
        <v>-18774585.413545303</v>
      </c>
      <c r="E58" s="108">
        <f>-'Note 10 to 11'!E52</f>
        <v>-19463783.804521233</v>
      </c>
      <c r="F58" s="108">
        <f>-'Note 10 to 11'!F52</f>
        <v>-20179152.560343418</v>
      </c>
      <c r="G58" s="108">
        <f>-'Note 10 to 11'!G52</f>
        <v>-20921709.536900118</v>
      </c>
      <c r="H58" s="108">
        <f>-'Note 10 to 11'!H52</f>
        <v>-21692512.823570665</v>
      </c>
      <c r="I58" s="108">
        <f>-'Note 10 to 11'!I52</f>
        <v>-22492662.350438125</v>
      </c>
      <c r="J58" s="108">
        <f>-'Note 10 to 11'!J52</f>
        <v>-23323301.560139589</v>
      </c>
      <c r="K58" s="108">
        <f>-'Note 10 to 11'!K52</f>
        <v>-24185619.146964632</v>
      </c>
      <c r="L58" s="108">
        <f>-'Note 10 to 11'!L52</f>
        <v>-25080850.865918308</v>
      </c>
    </row>
    <row r="60" spans="1:12" s="44" customFormat="1" x14ac:dyDescent="0.25">
      <c r="A60" s="100" t="s">
        <v>1050</v>
      </c>
    </row>
    <row r="61" spans="1:12" s="44" customFormat="1" x14ac:dyDescent="0.25">
      <c r="A61" s="100"/>
    </row>
    <row r="62" spans="1:12" s="44" customFormat="1" x14ac:dyDescent="0.25"/>
    <row r="63" spans="1:12" s="44" customFormat="1" x14ac:dyDescent="0.25">
      <c r="A63" s="115" t="s">
        <v>1203</v>
      </c>
      <c r="B63" s="122" t="e">
        <f>B66/B73</f>
        <v>#DIV/0!</v>
      </c>
      <c r="C63" s="167" t="str">
        <f>ROUND(C66/C73,2)&amp;"x"</f>
        <v>12.59x</v>
      </c>
      <c r="D63" s="167" t="str">
        <f t="shared" ref="D63:L63" si="9">ROUND(D66/D73,2)&amp;"x"</f>
        <v>11.95x</v>
      </c>
      <c r="E63" s="167" t="str">
        <f t="shared" si="9"/>
        <v>12.82x</v>
      </c>
      <c r="F63" s="167" t="str">
        <f t="shared" si="9"/>
        <v>13.23x</v>
      </c>
      <c r="G63" s="167" t="str">
        <f t="shared" si="9"/>
        <v>13.38x</v>
      </c>
      <c r="H63" s="167" t="str">
        <f t="shared" si="9"/>
        <v>13.63x</v>
      </c>
      <c r="I63" s="167" t="str">
        <f t="shared" si="9"/>
        <v>13.55x</v>
      </c>
      <c r="J63" s="167" t="str">
        <f t="shared" si="9"/>
        <v>14.06x</v>
      </c>
      <c r="K63" s="167" t="str">
        <f t="shared" si="9"/>
        <v>14.28x</v>
      </c>
      <c r="L63" s="167" t="str">
        <f t="shared" si="9"/>
        <v>14.5x</v>
      </c>
    </row>
    <row r="64" spans="1:12" s="44" customFormat="1" x14ac:dyDescent="0.25">
      <c r="A64" s="50" t="s">
        <v>1204</v>
      </c>
    </row>
    <row r="65" spans="1:12" s="44" customFormat="1" x14ac:dyDescent="0.25"/>
    <row r="66" spans="1:12" s="44" customFormat="1" x14ac:dyDescent="0.25">
      <c r="A66" s="3" t="s">
        <v>1004</v>
      </c>
      <c r="B66" s="123">
        <f>SUBTOTAL(9,B67:B71)</f>
        <v>28533374.299140215</v>
      </c>
      <c r="C66" s="123">
        <f t="shared" ref="C66:L66" si="10">SUBTOTAL(9,C67:C71)</f>
        <v>32743934.321151316</v>
      </c>
      <c r="D66" s="123">
        <f t="shared" si="10"/>
        <v>31087645.221775055</v>
      </c>
      <c r="E66" s="123">
        <f t="shared" si="10"/>
        <v>33346792.681424014</v>
      </c>
      <c r="F66" s="123">
        <f t="shared" si="10"/>
        <v>34427275.923115477</v>
      </c>
      <c r="G66" s="123">
        <f t="shared" si="10"/>
        <v>34809364.716873758</v>
      </c>
      <c r="H66" s="123">
        <f t="shared" si="10"/>
        <v>35452444.879315861</v>
      </c>
      <c r="I66" s="123">
        <f t="shared" si="10"/>
        <v>35255543.477914907</v>
      </c>
      <c r="J66" s="123">
        <f t="shared" si="10"/>
        <v>36569411.604389548</v>
      </c>
      <c r="K66" s="123">
        <f t="shared" si="10"/>
        <v>37138549.446813568</v>
      </c>
      <c r="L66" s="123">
        <f t="shared" si="10"/>
        <v>37730549.353046015</v>
      </c>
    </row>
    <row r="67" spans="1:12" s="44" customFormat="1" x14ac:dyDescent="0.25">
      <c r="A67" s="6" t="s">
        <v>1205</v>
      </c>
      <c r="B67" s="108">
        <f>'Income Statement'!B37</f>
        <v>10090887.299140215</v>
      </c>
      <c r="C67" s="108">
        <f>'Income Statement'!C37</f>
        <v>10711252.094679713</v>
      </c>
      <c r="D67" s="108">
        <f>'Income Statement'!D37</f>
        <v>9786842.3169220686</v>
      </c>
      <c r="E67" s="108">
        <f>'Income Statement'!E37</f>
        <v>10942091.351389349</v>
      </c>
      <c r="F67" s="108">
        <f>'Income Statement'!F37</f>
        <v>11205573.220794261</v>
      </c>
      <c r="G67" s="108">
        <f>'Income Statement'!G37</f>
        <v>10800539.641997397</v>
      </c>
      <c r="H67" s="108">
        <f>'Income Statement'!H37</f>
        <v>10643546.143625051</v>
      </c>
      <c r="I67" s="108">
        <f>'Income Statement'!I37</f>
        <v>9641717.9437290728</v>
      </c>
      <c r="J67" s="108">
        <f>'Income Statement'!J37</f>
        <v>10109567.696853966</v>
      </c>
      <c r="K67" s="108">
        <f>'Income Statement'!K37</f>
        <v>9514887.4617159069</v>
      </c>
      <c r="L67" s="108">
        <f>'Income Statement'!L37</f>
        <v>9054462.7470465899</v>
      </c>
    </row>
    <row r="68" spans="1:12" s="44" customFormat="1" x14ac:dyDescent="0.25">
      <c r="A68" s="6" t="s">
        <v>1206</v>
      </c>
      <c r="B68" s="108">
        <f>-'Income Statement'!B15</f>
        <v>-5086495</v>
      </c>
      <c r="C68" s="108">
        <f>-'Income Statement'!C15</f>
        <v>-5142407.375</v>
      </c>
      <c r="D68" s="108">
        <f>-'Income Statement'!D15</f>
        <v>-5199717.5593749993</v>
      </c>
      <c r="E68" s="108">
        <f>-'Income Statement'!E15</f>
        <v>-5208460.4983593747</v>
      </c>
      <c r="F68" s="108">
        <f>-'Income Statement'!F15</f>
        <v>-5268672.0108183585</v>
      </c>
      <c r="G68" s="108">
        <f>-'Income Statement'!G15</f>
        <v>-5330388.8110888172</v>
      </c>
      <c r="H68" s="108">
        <f>-'Income Statement'!H15</f>
        <v>-5393648.5313660372</v>
      </c>
      <c r="I68" s="108">
        <f>-'Income Statement'!I15</f>
        <v>-5458489.7446501888</v>
      </c>
      <c r="J68" s="108">
        <f>-'Income Statement'!J15</f>
        <v>-5524951.9882664429</v>
      </c>
      <c r="K68" s="108">
        <f>-'Income Statement'!K15</f>
        <v>-5593075.7879731031</v>
      </c>
      <c r="L68" s="108">
        <f>-'Income Statement'!L15</f>
        <v>-5662902.6826724308</v>
      </c>
    </row>
    <row r="69" spans="1:12" s="44" customFormat="1" x14ac:dyDescent="0.25">
      <c r="A69" s="6" t="s">
        <v>1211</v>
      </c>
      <c r="B69" s="108">
        <f>-'Income Statement'!B29</f>
        <v>0</v>
      </c>
      <c r="C69" s="108">
        <f>'Income Statement'!C29</f>
        <v>3002335.5758860246</v>
      </c>
      <c r="D69" s="108">
        <f>'Income Statement'!D29</f>
        <v>1410702.7126195058</v>
      </c>
      <c r="E69" s="108">
        <f>'Income Statement'!E29</f>
        <v>1545792.1767690661</v>
      </c>
      <c r="F69" s="108">
        <f>'Income Statement'!F29</f>
        <v>1592161.3981231074</v>
      </c>
      <c r="G69" s="108">
        <f>'Income Statement'!G29</f>
        <v>1651509.8523003233</v>
      </c>
      <c r="H69" s="108">
        <f>'Income Statement'!H29</f>
        <v>1481501.7845524056</v>
      </c>
      <c r="I69" s="108">
        <f>'Income Statement'!I29</f>
        <v>1641409.5132510085</v>
      </c>
      <c r="J69" s="108">
        <f>'Income Statement'!J29</f>
        <v>1552439.6823447549</v>
      </c>
      <c r="K69" s="108">
        <f>'Income Statement'!K29</f>
        <v>1515193.2419236153</v>
      </c>
      <c r="L69" s="108">
        <f>'Income Statement'!L29</f>
        <v>1708946.3051985586</v>
      </c>
    </row>
    <row r="70" spans="1:12" s="44" customFormat="1" x14ac:dyDescent="0.25">
      <c r="A70" s="6" t="s">
        <v>1207</v>
      </c>
      <c r="B70" s="108">
        <f>'Income Statement'!B26</f>
        <v>23528982</v>
      </c>
      <c r="C70" s="108">
        <f>'Income Statement'!C26</f>
        <v>22822754.025585577</v>
      </c>
      <c r="D70" s="108">
        <f>'Income Statement'!D26</f>
        <v>23802379.839880958</v>
      </c>
      <c r="E70" s="108">
        <f>'Income Statement'!E26</f>
        <v>24845621.932583559</v>
      </c>
      <c r="F70" s="108">
        <f>'Income Statement'!F26</f>
        <v>25745440.298295461</v>
      </c>
      <c r="G70" s="108">
        <f>'Income Statement'!G26</f>
        <v>26607354.454380278</v>
      </c>
      <c r="H70" s="108">
        <f>'Income Statement'!H26</f>
        <v>27716740.51252811</v>
      </c>
      <c r="I70" s="108">
        <f>'Income Statement'!I26</f>
        <v>28506447.635382351</v>
      </c>
      <c r="J70" s="108">
        <f>'Income Statement'!J26</f>
        <v>29591737.265016958</v>
      </c>
      <c r="K70" s="108">
        <f>'Income Statement'!K26</f>
        <v>30948956.723557297</v>
      </c>
      <c r="L70" s="108">
        <f>'Income Statement'!L26</f>
        <v>31969887.873776428</v>
      </c>
    </row>
    <row r="71" spans="1:12" s="44" customFormat="1" x14ac:dyDescent="0.25">
      <c r="A71" s="6" t="s">
        <v>1208</v>
      </c>
      <c r="B71" s="108">
        <f>'Income Statement'!B24</f>
        <v>0</v>
      </c>
      <c r="C71" s="108">
        <f>'Income Statement'!C24</f>
        <v>1350000</v>
      </c>
      <c r="D71" s="108">
        <f>'Income Statement'!D24</f>
        <v>1287437.9117275202</v>
      </c>
      <c r="E71" s="108">
        <f>'Income Statement'!E24</f>
        <v>1221747.7190414162</v>
      </c>
      <c r="F71" s="108">
        <f>'Income Statement'!F24</f>
        <v>1152773.0167210072</v>
      </c>
      <c r="G71" s="108">
        <f>'Income Statement'!G24</f>
        <v>1080349.5792845774</v>
      </c>
      <c r="H71" s="108">
        <f>'Income Statement'!H24</f>
        <v>1004304.9699763265</v>
      </c>
      <c r="I71" s="108">
        <f>'Income Statement'!I24</f>
        <v>924458.13020266301</v>
      </c>
      <c r="J71" s="108">
        <f>'Income Statement'!J24</f>
        <v>840618.94844031613</v>
      </c>
      <c r="K71" s="108">
        <f>'Income Statement'!K24</f>
        <v>752587.80758985213</v>
      </c>
      <c r="L71" s="108">
        <f>'Income Statement'!L24</f>
        <v>660155.10969686473</v>
      </c>
    </row>
    <row r="72" spans="1:12" s="44" customFormat="1" x14ac:dyDescent="0.25"/>
    <row r="73" spans="1:12" s="44" customFormat="1" x14ac:dyDescent="0.25">
      <c r="A73" s="3" t="s">
        <v>1009</v>
      </c>
      <c r="B73" s="123">
        <f>SUBTOTAL(9,B74:B79)</f>
        <v>0</v>
      </c>
      <c r="C73" s="123">
        <f t="shared" ref="C73:L73" si="11">SUBTOTAL(9,C74:C79)</f>
        <v>2601241.7654496003</v>
      </c>
      <c r="D73" s="123">
        <f t="shared" si="11"/>
        <v>2601241.7654496003</v>
      </c>
      <c r="E73" s="123">
        <f t="shared" si="11"/>
        <v>2601241.7654495961</v>
      </c>
      <c r="F73" s="123">
        <f t="shared" si="11"/>
        <v>2601241.7654495975</v>
      </c>
      <c r="G73" s="123">
        <f t="shared" si="11"/>
        <v>2601241.7654495975</v>
      </c>
      <c r="H73" s="123">
        <f t="shared" si="11"/>
        <v>2601241.7654495966</v>
      </c>
      <c r="I73" s="123">
        <f t="shared" si="11"/>
        <v>2601241.7654496031</v>
      </c>
      <c r="J73" s="123">
        <f t="shared" si="11"/>
        <v>2601241.7654495961</v>
      </c>
      <c r="K73" s="123">
        <f t="shared" si="11"/>
        <v>2601241.7654496022</v>
      </c>
      <c r="L73" s="123">
        <f t="shared" si="11"/>
        <v>2601241.7654495947</v>
      </c>
    </row>
    <row r="74" spans="1:12" s="44" customFormat="1" x14ac:dyDescent="0.25">
      <c r="A74" s="166" t="s">
        <v>1209</v>
      </c>
      <c r="B74" s="108">
        <f>'Cashflow Statement'!B36</f>
        <v>0</v>
      </c>
      <c r="C74" s="108">
        <f>-'Cashflow Statement'!C36</f>
        <v>1251241.7654496001</v>
      </c>
      <c r="D74" s="108">
        <f>-'Cashflow Statement'!D36</f>
        <v>1313803.8537220799</v>
      </c>
      <c r="E74" s="108">
        <f>-'Cashflow Statement'!E36</f>
        <v>1379494.0464081799</v>
      </c>
      <c r="F74" s="108">
        <f>-'Cashflow Statement'!F36</f>
        <v>1448468.7487285901</v>
      </c>
      <c r="G74" s="108">
        <f>-'Cashflow Statement'!G36</f>
        <v>1520892.1861650201</v>
      </c>
      <c r="H74" s="108">
        <f>-'Cashflow Statement'!H36</f>
        <v>1596936.7954732699</v>
      </c>
      <c r="I74" s="108">
        <f>-'Cashflow Statement'!I36</f>
        <v>1676783.63524694</v>
      </c>
      <c r="J74" s="108">
        <f>-'Cashflow Statement'!J36</f>
        <v>1760622.81700928</v>
      </c>
      <c r="K74" s="108">
        <f>-'Cashflow Statement'!K36</f>
        <v>1848653.9578597499</v>
      </c>
      <c r="L74" s="108">
        <f>-'Cashflow Statement'!L36</f>
        <v>1941086.6557527301</v>
      </c>
    </row>
    <row r="75" spans="1:12" s="44" customFormat="1" x14ac:dyDescent="0.25">
      <c r="A75" s="166" t="s">
        <v>1210</v>
      </c>
      <c r="B75" s="108"/>
      <c r="C75" s="108">
        <f>'Income Statement'!C24</f>
        <v>1350000</v>
      </c>
      <c r="D75" s="108">
        <f>'Income Statement'!D24</f>
        <v>1287437.9117275202</v>
      </c>
      <c r="E75" s="108">
        <f>'Income Statement'!E24</f>
        <v>1221747.7190414162</v>
      </c>
      <c r="F75" s="108">
        <f>'Income Statement'!F24</f>
        <v>1152773.0167210072</v>
      </c>
      <c r="G75" s="108">
        <f>'Income Statement'!G24</f>
        <v>1080349.5792845774</v>
      </c>
      <c r="H75" s="108">
        <f>'Income Statement'!H24</f>
        <v>1004304.9699763265</v>
      </c>
      <c r="I75" s="108">
        <f>'Income Statement'!I24</f>
        <v>924458.13020266301</v>
      </c>
      <c r="J75" s="108">
        <f>'Income Statement'!J24</f>
        <v>840618.94844031613</v>
      </c>
      <c r="K75" s="108">
        <f>'Income Statement'!K24</f>
        <v>752587.80758985213</v>
      </c>
      <c r="L75" s="108">
        <f>'Income Statement'!L24</f>
        <v>660155.10969686473</v>
      </c>
    </row>
    <row r="76" spans="1:12" s="44" customFormat="1" x14ac:dyDescent="0.25"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</row>
    <row r="77" spans="1:12" s="44" customFormat="1" x14ac:dyDescent="0.25"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</row>
    <row r="78" spans="1:12" s="44" customFormat="1" x14ac:dyDescent="0.25"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</row>
    <row r="79" spans="1:12" s="44" customFormat="1" x14ac:dyDescent="0.25"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</row>
    <row r="80" spans="1:12" s="44" customFormat="1" x14ac:dyDescent="0.25"/>
    <row r="81" spans="1:12" x14ac:dyDescent="0.25">
      <c r="A81" s="100" t="s">
        <v>1022</v>
      </c>
    </row>
    <row r="82" spans="1:12" x14ac:dyDescent="0.25">
      <c r="A82" s="100" t="s">
        <v>1023</v>
      </c>
    </row>
    <row r="83" spans="1:12" x14ac:dyDescent="0.25">
      <c r="A83" s="44"/>
    </row>
    <row r="84" spans="1:12" x14ac:dyDescent="0.25">
      <c r="A84" s="115" t="s">
        <v>1024</v>
      </c>
      <c r="B84" s="122">
        <f>B87/B93</f>
        <v>2.8087601488798797E-2</v>
      </c>
      <c r="C84" s="122">
        <f t="shared" ref="C84:L84" si="12">C87/C93</f>
        <v>2.839878568573162E-2</v>
      </c>
      <c r="D84" s="122">
        <f t="shared" si="12"/>
        <v>2.9790331389322182E-2</v>
      </c>
      <c r="E84" s="122">
        <f t="shared" si="12"/>
        <v>3.0075636219747862E-2</v>
      </c>
      <c r="F84" s="122">
        <f t="shared" si="12"/>
        <v>3.0086462649752465E-2</v>
      </c>
      <c r="G84" s="122">
        <f t="shared" si="12"/>
        <v>3.0121903092925461E-2</v>
      </c>
      <c r="H84" s="122">
        <f t="shared" si="12"/>
        <v>3.0116602801750856E-2</v>
      </c>
      <c r="I84" s="122">
        <f t="shared" si="12"/>
        <v>3.0110991679851814E-2</v>
      </c>
      <c r="J84" s="122">
        <f t="shared" si="12"/>
        <v>3.010507314079338E-2</v>
      </c>
      <c r="K84" s="122">
        <f t="shared" si="12"/>
        <v>3.0139341415327793E-2</v>
      </c>
      <c r="L84" s="122">
        <f t="shared" si="12"/>
        <v>3.0173283582894169E-2</v>
      </c>
    </row>
    <row r="85" spans="1:12" x14ac:dyDescent="0.25">
      <c r="A85" s="50" t="s">
        <v>1025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</row>
    <row r="86" spans="1:1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</row>
    <row r="87" spans="1:12" x14ac:dyDescent="0.25">
      <c r="A87" s="3" t="s">
        <v>1004</v>
      </c>
      <c r="B87" s="123">
        <f>SUBTOTAL(9,B88:B91)</f>
        <v>3111054.53</v>
      </c>
      <c r="C87" s="123">
        <f t="shared" ref="C87:L87" si="13">SUBTOTAL(9,C88:C91)</f>
        <v>3366723.8028845619</v>
      </c>
      <c r="D87" s="123">
        <f t="shared" si="13"/>
        <v>3571917.7977055116</v>
      </c>
      <c r="E87" s="123">
        <f t="shared" si="13"/>
        <v>3789500.5630688812</v>
      </c>
      <c r="F87" s="123">
        <f t="shared" si="13"/>
        <v>3905771.3694823901</v>
      </c>
      <c r="G87" s="123">
        <f t="shared" si="13"/>
        <v>4025484.2366527715</v>
      </c>
      <c r="H87" s="123">
        <f t="shared" si="13"/>
        <v>4148738.5402654265</v>
      </c>
      <c r="I87" s="123">
        <f t="shared" si="13"/>
        <v>4275636.4722901676</v>
      </c>
      <c r="J87" s="123">
        <f t="shared" si="13"/>
        <v>4406283.119659734</v>
      </c>
      <c r="K87" s="123">
        <f t="shared" si="13"/>
        <v>4540786.54512149</v>
      </c>
      <c r="L87" s="123">
        <f t="shared" si="13"/>
        <v>4679257.8703217674</v>
      </c>
    </row>
    <row r="88" spans="1:12" x14ac:dyDescent="0.25">
      <c r="A88" s="6" t="s">
        <v>1026</v>
      </c>
      <c r="B88" s="108">
        <f>'Note 6 to 8'!B67</f>
        <v>2484417.6944074626</v>
      </c>
      <c r="C88" s="108">
        <f>'Note 6 to 8'!C67</f>
        <v>2688589.3858212726</v>
      </c>
      <c r="D88" s="108">
        <f>'Note 6 to 8'!D67</f>
        <v>2852452.6632416528</v>
      </c>
      <c r="E88" s="108">
        <f>'Note 6 to 8'!E67</f>
        <v>3026209.3322598785</v>
      </c>
      <c r="F88" s="108">
        <f>'Note 6 to 8'!F67</f>
        <v>3119060.5651814523</v>
      </c>
      <c r="G88" s="108">
        <f>'Note 6 to 8'!G67</f>
        <v>3214660.5498742135</v>
      </c>
      <c r="H88" s="108">
        <f>'Note 6 to 8'!H67</f>
        <v>3313088.6455100523</v>
      </c>
      <c r="I88" s="108">
        <f>'Note 6 to 8'!I67</f>
        <v>3414426.4602818112</v>
      </c>
      <c r="J88" s="108">
        <f>'Note 6 to 8'!J67</f>
        <v>3518757.9142341674</v>
      </c>
      <c r="K88" s="108">
        <f>'Note 6 to 8'!K67</f>
        <v>3626169.3038299652</v>
      </c>
      <c r="L88" s="108">
        <f>'Note 6 to 8'!L67</f>
        <v>3736749.368299494</v>
      </c>
    </row>
    <row r="89" spans="1:12" x14ac:dyDescent="0.25">
      <c r="A89" s="6" t="s">
        <v>1027</v>
      </c>
      <c r="B89" s="108">
        <f>'Note 6 to 8'!B87</f>
        <v>359644.05559253751</v>
      </c>
      <c r="C89" s="108">
        <f>'Note 6 to 8'!C87</f>
        <v>389199.92910871113</v>
      </c>
      <c r="D89" s="108">
        <f>'Note 6 to 8'!D87</f>
        <v>412920.76066888327</v>
      </c>
      <c r="E89" s="108">
        <f>'Note 6 to 8'!E87</f>
        <v>438073.758601813</v>
      </c>
      <c r="F89" s="108">
        <f>'Note 6 to 8'!F87</f>
        <v>451514.8937417905</v>
      </c>
      <c r="G89" s="108">
        <f>'Note 6 to 8'!G87</f>
        <v>465353.93791173206</v>
      </c>
      <c r="H89" s="108">
        <f>'Note 6 to 8'!H87</f>
        <v>479602.37913737947</v>
      </c>
      <c r="I89" s="108">
        <f>'Note 6 to 8'!I87</f>
        <v>494272.03101252159</v>
      </c>
      <c r="J89" s="108">
        <f>'Note 6 to 8'!J87</f>
        <v>509375.04179438634</v>
      </c>
      <c r="K89" s="108">
        <f>'Note 6 to 8'!K87</f>
        <v>524923.90375025652</v>
      </c>
      <c r="L89" s="108">
        <f>'Note 6 to 8'!L87</f>
        <v>540931.46276218456</v>
      </c>
    </row>
    <row r="90" spans="1:12" x14ac:dyDescent="0.25">
      <c r="A90" s="6" t="s">
        <v>1028</v>
      </c>
      <c r="B90" s="108">
        <f>'Note 6 to 8'!B68</f>
        <v>178289.84559253755</v>
      </c>
      <c r="C90" s="108">
        <f>'Note 6 to 8'!C68</f>
        <v>192941.8662324152</v>
      </c>
      <c r="D90" s="108">
        <f>'Note 6 to 8'!D68</f>
        <v>204701.22477157364</v>
      </c>
      <c r="E90" s="108">
        <f>'Note 6 to 8'!E68</f>
        <v>217170.56507601132</v>
      </c>
      <c r="F90" s="108">
        <f>'Note 6 to 8'!F68</f>
        <v>223833.86972801443</v>
      </c>
      <c r="G90" s="108">
        <f>'Note 6 to 8'!G68</f>
        <v>230694.43369352206</v>
      </c>
      <c r="H90" s="108">
        <f>'Note 6 to 8'!H68</f>
        <v>237757.95204326822</v>
      </c>
      <c r="I90" s="108">
        <f>'Note 6 to 8'!I68</f>
        <v>245030.28124500142</v>
      </c>
      <c r="J90" s="108">
        <f>'Note 6 to 8'!J68</f>
        <v>252517.44367243169</v>
      </c>
      <c r="K90" s="108">
        <f>'Note 6 to 8'!K68</f>
        <v>260225.63223871947</v>
      </c>
      <c r="L90" s="108">
        <f>'Note 6 to 8'!L68</f>
        <v>268161.21515791427</v>
      </c>
    </row>
    <row r="91" spans="1:12" x14ac:dyDescent="0.25">
      <c r="A91" s="6" t="s">
        <v>1029</v>
      </c>
      <c r="B91" s="108">
        <f>'Note 6 to 8'!B88</f>
        <v>88702.934407462468</v>
      </c>
      <c r="C91" s="108">
        <f>'Note 6 to 8'!C88</f>
        <v>95992.621722163094</v>
      </c>
      <c r="D91" s="108">
        <f>'Note 6 to 8'!D88</f>
        <v>101843.14902340197</v>
      </c>
      <c r="E91" s="108">
        <f>'Note 6 to 8'!E88</f>
        <v>108046.90713117813</v>
      </c>
      <c r="F91" s="108">
        <f>'Note 6 to 8'!F88</f>
        <v>111362.04083113301</v>
      </c>
      <c r="G91" s="108">
        <f>'Note 6 to 8'!G88</f>
        <v>114775.31517330393</v>
      </c>
      <c r="H91" s="108">
        <f>'Note 6 to 8'!H88</f>
        <v>118289.56357472645</v>
      </c>
      <c r="I91" s="108">
        <f>'Note 6 to 8'!I88</f>
        <v>121907.69975083301</v>
      </c>
      <c r="J91" s="108">
        <f>'Note 6 to 8'!J88</f>
        <v>125632.71995874867</v>
      </c>
      <c r="K91" s="108">
        <f>'Note 6 to 8'!K88</f>
        <v>129467.70530254884</v>
      </c>
      <c r="L91" s="108">
        <f>'Note 6 to 8'!L88</f>
        <v>133415.82410217484</v>
      </c>
    </row>
    <row r="92" spans="1:1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</row>
    <row r="93" spans="1:12" x14ac:dyDescent="0.25">
      <c r="A93" s="3" t="s">
        <v>1009</v>
      </c>
      <c r="B93" s="123">
        <f>SUBTOTAL(9,B94:B99)</f>
        <v>110762555.89999999</v>
      </c>
      <c r="C93" s="123">
        <f t="shared" ref="C93:L93" si="14">SUBTOTAL(9,C94:C99)</f>
        <v>118551681.75645278</v>
      </c>
      <c r="D93" s="123">
        <f t="shared" si="14"/>
        <v>119901915.52504188</v>
      </c>
      <c r="E93" s="123">
        <f t="shared" si="14"/>
        <v>125999015.79407553</v>
      </c>
      <c r="F93" s="123">
        <f t="shared" si="14"/>
        <v>129818231.37372132</v>
      </c>
      <c r="G93" s="123">
        <f t="shared" si="14"/>
        <v>133639771.17362851</v>
      </c>
      <c r="H93" s="123">
        <f t="shared" si="14"/>
        <v>137755860.69834661</v>
      </c>
      <c r="I93" s="123">
        <f t="shared" si="14"/>
        <v>141995870.40340245</v>
      </c>
      <c r="J93" s="123">
        <f t="shared" si="14"/>
        <v>146363474.98817644</v>
      </c>
      <c r="K93" s="123">
        <f t="shared" si="14"/>
        <v>150659779.93839666</v>
      </c>
      <c r="L93" s="123">
        <f t="shared" si="14"/>
        <v>155079504.60434911</v>
      </c>
    </row>
    <row r="94" spans="1:12" x14ac:dyDescent="0.25">
      <c r="A94" s="6" t="s">
        <v>1030</v>
      </c>
      <c r="B94" s="108">
        <f>-'Note 3'!C29</f>
        <v>108227480</v>
      </c>
      <c r="C94" s="108">
        <f>-'Note 3'!D29</f>
        <v>115279382.27179433</v>
      </c>
      <c r="D94" s="108">
        <f>-'Note 3'!E29</f>
        <v>116364119.26208761</v>
      </c>
      <c r="E94" s="108">
        <f>-'Note 3'!F29</f>
        <v>122245604.68648025</v>
      </c>
      <c r="F94" s="108">
        <f>-'Note 3'!G29</f>
        <v>125841668.85836551</v>
      </c>
      <c r="G94" s="108">
        <f>-'Note 3'!H29</f>
        <v>129541204.3563398</v>
      </c>
      <c r="H94" s="108">
        <f>-'Note 3'!I29</f>
        <v>133531677.90577382</v>
      </c>
      <c r="I94" s="108">
        <f>-'Note 3'!J29</f>
        <v>137642355.69215453</v>
      </c>
      <c r="J94" s="108">
        <f>-'Note 3'!K29</f>
        <v>141876805.18988752</v>
      </c>
      <c r="K94" s="108">
        <f>-'Note 3'!L29</f>
        <v>146036021.62224042</v>
      </c>
      <c r="L94" s="108">
        <f>-'Note 3'!M29</f>
        <v>150314610.95472181</v>
      </c>
    </row>
    <row r="95" spans="1:12" x14ac:dyDescent="0.25">
      <c r="A95" s="6" t="s">
        <v>1031</v>
      </c>
      <c r="B95" s="108">
        <f>-'Note 3'!C77</f>
        <v>149000</v>
      </c>
      <c r="C95" s="108">
        <f>-'Note 3'!D77</f>
        <v>161244.95465844494</v>
      </c>
      <c r="D95" s="108">
        <f>-'Note 3'!E77</f>
        <v>171072.46006971187</v>
      </c>
      <c r="E95" s="108">
        <f>-'Note 3'!F77</f>
        <v>181493.30988977017</v>
      </c>
      <c r="F95" s="108">
        <f>-'Note 3'!G77</f>
        <v>187061.95228692316</v>
      </c>
      <c r="G95" s="108">
        <f>-'Note 3'!H77</f>
        <v>192795.44780633049</v>
      </c>
      <c r="H95" s="108">
        <f>-'Note 3'!I77</f>
        <v>198698.55592005601</v>
      </c>
      <c r="I95" s="108">
        <f>-'Note 3'!J77</f>
        <v>204776.1709825237</v>
      </c>
      <c r="J95" s="108">
        <f>-'Note 3'!K77</f>
        <v>211033.32599872508</v>
      </c>
      <c r="K95" s="108">
        <f>-'Note 3'!L77</f>
        <v>217475.19649650823</v>
      </c>
      <c r="L95" s="108">
        <f>-'Note 3'!M77</f>
        <v>224107.10450579709</v>
      </c>
    </row>
    <row r="96" spans="1:12" x14ac:dyDescent="0.25">
      <c r="A96" s="44" t="s">
        <v>1032</v>
      </c>
      <c r="B96" s="108">
        <v>1764568.0617716869</v>
      </c>
      <c r="C96" s="108">
        <f>'Note 6 to 8'!B67</f>
        <v>2484417.6944074626</v>
      </c>
      <c r="D96" s="108">
        <f>'Note 6 to 8'!C67</f>
        <v>2688589.3858212726</v>
      </c>
      <c r="E96" s="108">
        <f>'Note 6 to 8'!D67</f>
        <v>2852452.6632416528</v>
      </c>
      <c r="F96" s="108">
        <f>'Note 6 to 8'!E67</f>
        <v>3026209.3322598785</v>
      </c>
      <c r="G96" s="108">
        <f>'Note 6 to 8'!F67</f>
        <v>3119060.5651814523</v>
      </c>
      <c r="H96" s="108">
        <f>'Note 6 to 8'!G67</f>
        <v>3214660.5498742135</v>
      </c>
      <c r="I96" s="108">
        <f>'Note 6 to 8'!H67</f>
        <v>3313088.6455100523</v>
      </c>
      <c r="J96" s="108">
        <f>'Note 6 to 8'!I67</f>
        <v>3414426.4602818112</v>
      </c>
      <c r="K96" s="108">
        <f>'Note 6 to 8'!J67</f>
        <v>3518757.9142341674</v>
      </c>
      <c r="L96" s="108">
        <f>'Note 6 to 8'!K67</f>
        <v>3626169.3038299652</v>
      </c>
    </row>
    <row r="97" spans="1:12" x14ac:dyDescent="0.25">
      <c r="A97" s="44" t="s">
        <v>1033</v>
      </c>
      <c r="B97" s="108">
        <v>388260.48822831293</v>
      </c>
      <c r="C97" s="108">
        <f>'Note 6 to 8'!B87</f>
        <v>359644.05559253751</v>
      </c>
      <c r="D97" s="108">
        <f>'Note 6 to 8'!C87</f>
        <v>389199.92910871113</v>
      </c>
      <c r="E97" s="108">
        <f>'Note 6 to 8'!D87</f>
        <v>412920.76066888327</v>
      </c>
      <c r="F97" s="108">
        <f>'Note 6 to 8'!E87</f>
        <v>438073.758601813</v>
      </c>
      <c r="G97" s="108">
        <f>'Note 6 to 8'!F87</f>
        <v>451514.8937417905</v>
      </c>
      <c r="H97" s="108">
        <f>'Note 6 to 8'!G87</f>
        <v>465353.93791173206</v>
      </c>
      <c r="I97" s="108">
        <f>'Note 6 to 8'!H87</f>
        <v>479602.37913737947</v>
      </c>
      <c r="J97" s="108">
        <f>'Note 6 to 8'!I87</f>
        <v>494272.03101252159</v>
      </c>
      <c r="K97" s="108">
        <f>'Note 6 to 8'!J87</f>
        <v>509375.04179438634</v>
      </c>
      <c r="L97" s="108">
        <f>'Note 6 to 8'!K87</f>
        <v>524923.90375025652</v>
      </c>
    </row>
    <row r="98" spans="1:12" x14ac:dyDescent="0.25">
      <c r="A98" s="44" t="s">
        <v>1034</v>
      </c>
      <c r="B98" s="108">
        <v>142928.48822831298</v>
      </c>
      <c r="C98" s="108">
        <f>'Note 6 to 8'!B68</f>
        <v>178289.84559253755</v>
      </c>
      <c r="D98" s="108">
        <f>'Note 6 to 8'!C68</f>
        <v>192941.8662324152</v>
      </c>
      <c r="E98" s="108">
        <f>'Note 6 to 8'!D68</f>
        <v>204701.22477157364</v>
      </c>
      <c r="F98" s="108">
        <f>'Note 6 to 8'!E68</f>
        <v>217170.56507601132</v>
      </c>
      <c r="G98" s="108">
        <f>'Note 6 to 8'!F68</f>
        <v>223833.86972801443</v>
      </c>
      <c r="H98" s="108">
        <f>'Note 6 to 8'!G68</f>
        <v>230694.43369352206</v>
      </c>
      <c r="I98" s="108">
        <f>'Note 6 to 8'!H68</f>
        <v>237757.95204326822</v>
      </c>
      <c r="J98" s="108">
        <f>'Note 6 to 8'!I68</f>
        <v>245030.28124500142</v>
      </c>
      <c r="K98" s="108">
        <f>'Note 6 to 8'!J68</f>
        <v>252517.44367243169</v>
      </c>
      <c r="L98" s="108">
        <f>'Note 6 to 8'!K68</f>
        <v>260225.63223871947</v>
      </c>
    </row>
    <row r="99" spans="1:12" x14ac:dyDescent="0.25">
      <c r="A99" s="44" t="s">
        <v>1035</v>
      </c>
      <c r="B99" s="108">
        <v>90318.861771687021</v>
      </c>
      <c r="C99" s="108">
        <f>'Note 6 to 8'!B88</f>
        <v>88702.934407462468</v>
      </c>
      <c r="D99" s="108">
        <f>'Note 6 to 8'!C88</f>
        <v>95992.621722163094</v>
      </c>
      <c r="E99" s="108">
        <f>'Note 6 to 8'!D88</f>
        <v>101843.14902340197</v>
      </c>
      <c r="F99" s="108">
        <f>'Note 6 to 8'!E88</f>
        <v>108046.90713117813</v>
      </c>
      <c r="G99" s="108">
        <f>'Note 6 to 8'!F88</f>
        <v>111362.04083113301</v>
      </c>
      <c r="H99" s="108">
        <f>'Note 6 to 8'!G88</f>
        <v>114775.31517330393</v>
      </c>
      <c r="I99" s="108">
        <f>'Note 6 to 8'!H88</f>
        <v>118289.56357472645</v>
      </c>
      <c r="J99" s="108">
        <f>'Note 6 to 8'!I88</f>
        <v>121907.69975083301</v>
      </c>
      <c r="K99" s="108">
        <f>'Note 6 to 8'!J88</f>
        <v>125632.71995874867</v>
      </c>
      <c r="L99" s="108">
        <f>'Note 6 to 8'!K88</f>
        <v>129467.70530254884</v>
      </c>
    </row>
    <row r="101" spans="1:12" x14ac:dyDescent="0.25">
      <c r="A101" s="100" t="s">
        <v>1036</v>
      </c>
    </row>
    <row r="102" spans="1:12" x14ac:dyDescent="0.25">
      <c r="A102" s="44"/>
    </row>
    <row r="103" spans="1:12" x14ac:dyDescent="0.25">
      <c r="A103" s="115" t="s">
        <v>1037</v>
      </c>
      <c r="B103" s="124">
        <f>B106/B112</f>
        <v>4.4561004630136845</v>
      </c>
      <c r="C103" s="124">
        <f t="shared" ref="C103:L103" si="15">C106/C112</f>
        <v>3.6767313104301462</v>
      </c>
      <c r="D103" s="124">
        <f t="shared" si="15"/>
        <v>3.4355350311208701</v>
      </c>
      <c r="E103" s="124">
        <f t="shared" si="15"/>
        <v>3.1417121058233066</v>
      </c>
      <c r="F103" s="124">
        <f t="shared" si="15"/>
        <v>3.0912729291722516</v>
      </c>
      <c r="G103" s="124">
        <f t="shared" si="15"/>
        <v>3.0469663975924006</v>
      </c>
      <c r="H103" s="124">
        <f t="shared" si="15"/>
        <v>3.0636249286520929</v>
      </c>
      <c r="I103" s="124">
        <f t="shared" si="15"/>
        <v>3.1241507678707694</v>
      </c>
      <c r="J103" s="124">
        <f t="shared" si="15"/>
        <v>3.1957118790491514</v>
      </c>
      <c r="K103" s="124">
        <f t="shared" si="15"/>
        <v>3.1853626569120617</v>
      </c>
      <c r="L103" s="124">
        <f t="shared" si="15"/>
        <v>3.2037899776168479</v>
      </c>
    </row>
    <row r="104" spans="1:12" x14ac:dyDescent="0.25">
      <c r="A104" s="50" t="s">
        <v>1038</v>
      </c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</row>
    <row r="105" spans="1:12" x14ac:dyDescent="0.25">
      <c r="A105" s="125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x14ac:dyDescent="0.25">
      <c r="A106" s="3" t="s">
        <v>1004</v>
      </c>
      <c r="B106" s="123">
        <f>SUM(B107:B110)</f>
        <v>41129665</v>
      </c>
      <c r="C106" s="123">
        <f t="shared" ref="C106:L106" si="16">SUM(C107:C110)</f>
        <v>36305211.146995768</v>
      </c>
      <c r="D106" s="123">
        <f t="shared" si="16"/>
        <v>34976661.324723184</v>
      </c>
      <c r="E106" s="123">
        <f t="shared" si="16"/>
        <v>33170765.792765941</v>
      </c>
      <c r="F106" s="123">
        <f t="shared" si="16"/>
        <v>33546789.936336834</v>
      </c>
      <c r="G106" s="123">
        <f t="shared" si="16"/>
        <v>34177005.665684484</v>
      </c>
      <c r="H106" s="123">
        <f t="shared" si="16"/>
        <v>35522775.821804203</v>
      </c>
      <c r="I106" s="123">
        <f t="shared" si="16"/>
        <v>37649864.186889231</v>
      </c>
      <c r="J106" s="123">
        <f t="shared" si="16"/>
        <v>39609766.70071882</v>
      </c>
      <c r="K106" s="123">
        <f t="shared" si="16"/>
        <v>40746566.610694908</v>
      </c>
      <c r="L106" s="123">
        <f t="shared" si="16"/>
        <v>42299237.07706067</v>
      </c>
    </row>
    <row r="107" spans="1:12" x14ac:dyDescent="0.25">
      <c r="A107" s="6" t="s">
        <v>1039</v>
      </c>
      <c r="B107" s="108">
        <f>'Note 6 to 8'!B10</f>
        <v>191588.37</v>
      </c>
      <c r="C107" s="108">
        <f>'Note 6 to 8'!C10</f>
        <v>199954.83038396601</v>
      </c>
      <c r="D107" s="108">
        <f>'Note 6 to 8'!D10</f>
        <v>208686.64519605556</v>
      </c>
      <c r="E107" s="108">
        <f>'Note 6 to 8'!E10</f>
        <v>217799.7690756291</v>
      </c>
      <c r="F107" s="108">
        <f>'Note 6 to 8'!F10</f>
        <v>227310.85338418183</v>
      </c>
      <c r="G107" s="108">
        <f>'Note 6 to 8'!G10</f>
        <v>237237.27663045854</v>
      </c>
      <c r="H107" s="108">
        <f>'Note 6 to 8'!H10</f>
        <v>247597.17622420067</v>
      </c>
      <c r="I107" s="108">
        <f>'Note 6 to 8'!I10</f>
        <v>258409.48161654585</v>
      </c>
      <c r="J107" s="108">
        <f>'Note 6 to 8'!J10</f>
        <v>269693.94888763345</v>
      </c>
      <c r="K107" s="108">
        <f>'Note 6 to 8'!K10</f>
        <v>281471.19684461405</v>
      </c>
      <c r="L107" s="108">
        <f>'Note 6 to 8'!L10</f>
        <v>293762.7446960205</v>
      </c>
    </row>
    <row r="108" spans="1:12" x14ac:dyDescent="0.25">
      <c r="A108" s="6" t="s">
        <v>1040</v>
      </c>
      <c r="B108" s="108">
        <f>'Note 6 to 8'!B15-B107</f>
        <v>2617993.9929457381</v>
      </c>
      <c r="C108" s="108">
        <f>'Note 6 to 8'!C15-C107</f>
        <v>1785173.6795575374</v>
      </c>
      <c r="D108" s="108">
        <f>'Note 6 to 8'!D15-D107</f>
        <v>1447892.0424728647</v>
      </c>
      <c r="E108" s="108">
        <f>'Note 6 to 8'!E15-E107</f>
        <v>1632883.3866360488</v>
      </c>
      <c r="F108" s="108">
        <f>'Note 6 to 8'!F15-F107</f>
        <v>1499396.4458983866</v>
      </c>
      <c r="G108" s="108">
        <f>'Note 6 to 8'!G15-G107</f>
        <v>1119685.7519997633</v>
      </c>
      <c r="H108" s="108">
        <f>'Note 6 to 8'!H15-H107</f>
        <v>955096.0085257407</v>
      </c>
      <c r="I108" s="108">
        <f>'Note 6 to 8'!I15-I107</f>
        <v>1071372.0682184235</v>
      </c>
      <c r="J108" s="108">
        <f>'Note 6 to 8'!J15-J107</f>
        <v>1019990.1147769226</v>
      </c>
      <c r="K108" s="108">
        <f>'Note 6 to 8'!K15-K107</f>
        <v>1645012.7767960266</v>
      </c>
      <c r="L108" s="108">
        <f>'Note 6 to 8'!L15-L107</f>
        <v>1685391.6953103854</v>
      </c>
    </row>
    <row r="109" spans="1:12" x14ac:dyDescent="0.25">
      <c r="A109" s="6" t="s">
        <v>1041</v>
      </c>
      <c r="B109" s="108">
        <f>'Note 6 to 8'!B18</f>
        <v>38320082.637054265</v>
      </c>
      <c r="C109" s="108">
        <f>'Note 6 to 8'!C18</f>
        <v>34320082.637054265</v>
      </c>
      <c r="D109" s="108">
        <f>'Note 6 to 8'!D18</f>
        <v>33320082.637054265</v>
      </c>
      <c r="E109" s="108">
        <f>'Note 6 to 8'!E18</f>
        <v>31320082.637054265</v>
      </c>
      <c r="F109" s="108">
        <f>'Note 6 to 8'!F18</f>
        <v>31820082.637054265</v>
      </c>
      <c r="G109" s="108">
        <f>'Note 6 to 8'!G18</f>
        <v>32820082.637054265</v>
      </c>
      <c r="H109" s="108">
        <f>'Note 6 to 8'!H18</f>
        <v>34320082.637054265</v>
      </c>
      <c r="I109" s="108">
        <f>'Note 6 to 8'!I18</f>
        <v>36320082.637054265</v>
      </c>
      <c r="J109" s="108">
        <f>'Note 6 to 8'!J18</f>
        <v>38320082.637054265</v>
      </c>
      <c r="K109" s="108">
        <f>'Note 6 to 8'!K18</f>
        <v>38820082.637054265</v>
      </c>
      <c r="L109" s="108">
        <f>'Note 6 to 8'!L18</f>
        <v>40320082.637054265</v>
      </c>
    </row>
    <row r="110" spans="1:12" x14ac:dyDescent="0.25">
      <c r="A110" s="6" t="s">
        <v>1042</v>
      </c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</row>
    <row r="111" spans="1:1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2" x14ac:dyDescent="0.25">
      <c r="A112" s="3" t="s">
        <v>1043</v>
      </c>
      <c r="B112" s="123">
        <f>SUM(B113:B114)/12</f>
        <v>9229968.0721703898</v>
      </c>
      <c r="C112" s="123">
        <f t="shared" ref="C112:L112" si="17">SUM(C113:C114)/12</f>
        <v>9874317.1805905961</v>
      </c>
      <c r="D112" s="123">
        <f t="shared" si="17"/>
        <v>10180848.399997765</v>
      </c>
      <c r="E112" s="123">
        <f t="shared" si="17"/>
        <v>10558181.232227618</v>
      </c>
      <c r="F112" s="123">
        <f t="shared" si="17"/>
        <v>10852095.788681991</v>
      </c>
      <c r="G112" s="123">
        <f t="shared" si="17"/>
        <v>11216732.056083677</v>
      </c>
      <c r="H112" s="123">
        <f t="shared" si="17"/>
        <v>11595014.614740456</v>
      </c>
      <c r="I112" s="123">
        <f t="shared" si="17"/>
        <v>12051231.513563951</v>
      </c>
      <c r="J112" s="123">
        <f t="shared" si="17"/>
        <v>12394661.408745104</v>
      </c>
      <c r="K112" s="123">
        <f t="shared" si="17"/>
        <v>12791813.994013241</v>
      </c>
      <c r="L112" s="123">
        <f t="shared" si="17"/>
        <v>13202874.524417212</v>
      </c>
    </row>
    <row r="113" spans="1:12" x14ac:dyDescent="0.25">
      <c r="A113" s="6" t="s">
        <v>1044</v>
      </c>
      <c r="B113" s="108">
        <f>-SUM('Cashflow Statement'!B17:B20)</f>
        <v>110759616.86604467</v>
      </c>
      <c r="C113" s="108">
        <f>-SUM('Cashflow Statement'!C17:C20)</f>
        <v>118491806.16708715</v>
      </c>
      <c r="D113" s="108">
        <f>-SUM('Cashflow Statement'!D17:D20)</f>
        <v>122170180.79997319</v>
      </c>
      <c r="E113" s="108">
        <f>-SUM('Cashflow Statement'!E17:E20)</f>
        <v>126698174.78673142</v>
      </c>
      <c r="F113" s="108">
        <f>-SUM('Cashflow Statement'!F17:F20)</f>
        <v>130225149.4641839</v>
      </c>
      <c r="G113" s="108">
        <f>-SUM('Cashflow Statement'!G17:G20)</f>
        <v>134600784.67300412</v>
      </c>
      <c r="H113" s="108">
        <f>-SUM('Cashflow Statement'!H17:H20)</f>
        <v>139140175.37688547</v>
      </c>
      <c r="I113" s="108">
        <f>-SUM('Cashflow Statement'!I17:I20)</f>
        <v>144614778.16276741</v>
      </c>
      <c r="J113" s="108">
        <f>-SUM('Cashflow Statement'!J17:J20)</f>
        <v>148735936.90494126</v>
      </c>
      <c r="K113" s="108">
        <f>-SUM('Cashflow Statement'!K17:K20)</f>
        <v>153501767.92815888</v>
      </c>
      <c r="L113" s="108">
        <f>-SUM('Cashflow Statement'!L17:L20)</f>
        <v>158434494.29300654</v>
      </c>
    </row>
    <row r="114" spans="1:12" x14ac:dyDescent="0.25">
      <c r="A114" s="6" t="s">
        <v>1045</v>
      </c>
      <c r="B114" s="108">
        <v>0</v>
      </c>
      <c r="C114" s="108">
        <v>0</v>
      </c>
      <c r="D114" s="108">
        <v>0</v>
      </c>
      <c r="E114" s="108">
        <v>0</v>
      </c>
      <c r="F114" s="108">
        <v>0</v>
      </c>
      <c r="G114" s="108">
        <v>0</v>
      </c>
      <c r="H114" s="108">
        <v>0</v>
      </c>
      <c r="I114" s="108">
        <v>0</v>
      </c>
      <c r="J114" s="108">
        <v>0</v>
      </c>
      <c r="K114" s="108">
        <v>0</v>
      </c>
      <c r="L114" s="108">
        <v>0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zoomScale="110" zoomScaleNormal="110" workbookViewId="0">
      <pane xSplit="1" ySplit="5" topLeftCell="B27" activePane="bottomRight" state="frozen"/>
      <selection pane="topRight" activeCell="B1" sqref="B1"/>
      <selection pane="bottomLeft" activeCell="A6" sqref="A6"/>
      <selection pane="bottomRight" activeCell="L43" sqref="L43"/>
    </sheetView>
  </sheetViews>
  <sheetFormatPr defaultRowHeight="15" x14ac:dyDescent="0.25"/>
  <cols>
    <col min="1" max="1" width="65.28515625" customWidth="1"/>
    <col min="2" max="12" width="12.7109375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1059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91" t="s">
        <v>8</v>
      </c>
      <c r="D4" s="91" t="s">
        <v>9</v>
      </c>
      <c r="E4" s="91" t="s">
        <v>10</v>
      </c>
      <c r="F4" s="91" t="s">
        <v>11</v>
      </c>
      <c r="G4" s="91" t="s">
        <v>12</v>
      </c>
      <c r="H4" s="91" t="s">
        <v>13</v>
      </c>
      <c r="I4" s="91" t="s">
        <v>14</v>
      </c>
      <c r="J4" s="91" t="s">
        <v>15</v>
      </c>
      <c r="K4" s="91" t="s">
        <v>16</v>
      </c>
      <c r="L4" s="91" t="s">
        <v>17</v>
      </c>
    </row>
    <row r="5" spans="1:12" x14ac:dyDescent="0.25">
      <c r="A5" s="6"/>
      <c r="B5" s="7">
        <f>BASE_YR</f>
        <v>2018</v>
      </c>
      <c r="C5" s="91">
        <f>B5+1</f>
        <v>2019</v>
      </c>
      <c r="D5" s="91">
        <f t="shared" ref="D5:L5" si="0">C5+1</f>
        <v>2020</v>
      </c>
      <c r="E5" s="91">
        <f t="shared" si="0"/>
        <v>2021</v>
      </c>
      <c r="F5" s="91">
        <f t="shared" si="0"/>
        <v>2022</v>
      </c>
      <c r="G5" s="91">
        <f t="shared" si="0"/>
        <v>2023</v>
      </c>
      <c r="H5" s="91">
        <f t="shared" si="0"/>
        <v>2024</v>
      </c>
      <c r="I5" s="91">
        <f t="shared" si="0"/>
        <v>2025</v>
      </c>
      <c r="J5" s="91">
        <f t="shared" si="0"/>
        <v>2026</v>
      </c>
      <c r="K5" s="91">
        <f t="shared" si="0"/>
        <v>2027</v>
      </c>
      <c r="L5" s="91">
        <f t="shared" si="0"/>
        <v>2028</v>
      </c>
    </row>
    <row r="7" spans="1:12" x14ac:dyDescent="0.25">
      <c r="A7" s="100" t="s">
        <v>1060</v>
      </c>
    </row>
    <row r="8" spans="1:12" x14ac:dyDescent="0.25">
      <c r="A8" s="44"/>
    </row>
    <row r="9" spans="1:12" x14ac:dyDescent="0.25">
      <c r="A9" s="115" t="s">
        <v>1061</v>
      </c>
      <c r="B9" s="127">
        <f>B12/B20</f>
        <v>2.3551033769695668</v>
      </c>
      <c r="C9" s="127">
        <f t="shared" ref="C9:L9" si="1">C12/C20</f>
        <v>1.8288741521359015</v>
      </c>
      <c r="D9" s="127">
        <f t="shared" si="1"/>
        <v>1.6867525486207726</v>
      </c>
      <c r="E9" s="127">
        <f t="shared" si="1"/>
        <v>1.5553109643750089</v>
      </c>
      <c r="F9" s="127">
        <f t="shared" si="1"/>
        <v>1.5325466339312646</v>
      </c>
      <c r="G9" s="127">
        <f t="shared" si="1"/>
        <v>1.5537098752709935</v>
      </c>
      <c r="H9" s="127">
        <f t="shared" si="1"/>
        <v>1.6135417345923442</v>
      </c>
      <c r="I9" s="127">
        <f t="shared" si="1"/>
        <v>1.6488950958835757</v>
      </c>
      <c r="J9" s="127">
        <f t="shared" si="1"/>
        <v>1.6517427434408385</v>
      </c>
      <c r="K9" s="127">
        <f t="shared" si="1"/>
        <v>1.6478728484293721</v>
      </c>
      <c r="L9" s="127">
        <f t="shared" si="1"/>
        <v>1.6257687853975229</v>
      </c>
    </row>
    <row r="10" spans="1:12" x14ac:dyDescent="0.25">
      <c r="A10" s="50" t="s">
        <v>1062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2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2" x14ac:dyDescent="0.25">
      <c r="A12" s="3" t="s">
        <v>1004</v>
      </c>
      <c r="B12" s="123">
        <f t="shared" ref="B12:L12" si="2">SUM(B13:B18)</f>
        <v>42310637.770000003</v>
      </c>
      <c r="C12" s="123">
        <f t="shared" si="2"/>
        <v>38809485.460508421</v>
      </c>
      <c r="D12" s="123">
        <f t="shared" si="2"/>
        <v>36871677.67825827</v>
      </c>
      <c r="E12" s="123">
        <f t="shared" si="2"/>
        <v>35033322.967875481</v>
      </c>
      <c r="F12" s="123">
        <f t="shared" si="2"/>
        <v>35470343.775038235</v>
      </c>
      <c r="G12" s="123">
        <f t="shared" si="2"/>
        <v>36957128.665512197</v>
      </c>
      <c r="H12" s="123">
        <f t="shared" si="2"/>
        <v>39452328.038361281</v>
      </c>
      <c r="I12" s="123">
        <f t="shared" si="2"/>
        <v>41451063.364314459</v>
      </c>
      <c r="J12" s="123">
        <f t="shared" si="2"/>
        <v>42699215.437274203</v>
      </c>
      <c r="K12" s="123">
        <f t="shared" si="2"/>
        <v>43814633.695643321</v>
      </c>
      <c r="L12" s="123">
        <f t="shared" si="2"/>
        <v>44468652.759380944</v>
      </c>
    </row>
    <row r="13" spans="1:12" x14ac:dyDescent="0.25">
      <c r="A13" s="6" t="s">
        <v>887</v>
      </c>
      <c r="B13" s="108">
        <f>'Balance Sheet'!B16</f>
        <v>50162859.420000002</v>
      </c>
      <c r="C13" s="108">
        <f>'Balance Sheet'!C16</f>
        <v>45753783.67158094</v>
      </c>
      <c r="D13" s="108">
        <f>'Balance Sheet'!D16</f>
        <v>44777404.130732231</v>
      </c>
      <c r="E13" s="108">
        <f>'Balance Sheet'!E16</f>
        <v>43374434.46815788</v>
      </c>
      <c r="F13" s="108">
        <f>'Balance Sheet'!F16</f>
        <v>44067791.339868061</v>
      </c>
      <c r="G13" s="108">
        <f>'Balance Sheet'!G16</f>
        <v>45042174.778462291</v>
      </c>
      <c r="H13" s="108">
        <f>'Balance Sheet'!H16</f>
        <v>46764584.434366927</v>
      </c>
      <c r="I13" s="108">
        <f>'Balance Sheet'!I16</f>
        <v>49259291.739523306</v>
      </c>
      <c r="J13" s="108">
        <f>'Balance Sheet'!J16</f>
        <v>51616805.769385815</v>
      </c>
      <c r="K13" s="108">
        <f>'Balance Sheet'!K16</f>
        <v>53157618.658738218</v>
      </c>
      <c r="L13" s="108">
        <f>'Balance Sheet'!L16</f>
        <v>55099307.236769222</v>
      </c>
    </row>
    <row r="14" spans="1:12" x14ac:dyDescent="0.25">
      <c r="A14" s="6" t="s">
        <v>1005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2" x14ac:dyDescent="0.25">
      <c r="A15" s="6" t="s">
        <v>1018</v>
      </c>
      <c r="B15" s="108">
        <f>-'Note 6 to 8'!B30</f>
        <v>-7181916</v>
      </c>
      <c r="C15" s="108">
        <f>-'Note 6 to 8'!C30</f>
        <v>-6218906.2369681634</v>
      </c>
      <c r="D15" s="108">
        <f>-'Note 6 to 8'!D30</f>
        <v>-7136123.5226476043</v>
      </c>
      <c r="E15" s="108">
        <f>-'Note 6 to 8'!E30</f>
        <v>-7524628.3388306275</v>
      </c>
      <c r="F15" s="108">
        <f>-'Note 6 to 8'!F30</f>
        <v>-7755912.7761187218</v>
      </c>
      <c r="G15" s="108">
        <f>-'Note 6 to 8'!G30</f>
        <v>-7217718.0729577206</v>
      </c>
      <c r="H15" s="108">
        <f>-'Note 6 to 8'!H30</f>
        <v>-6418372.0692938678</v>
      </c>
      <c r="I15" s="108">
        <f>-'Note 6 to 8'!I30</f>
        <v>-6887002.7081286293</v>
      </c>
      <c r="J15" s="108">
        <f>-'Note 6 to 8'!J30</f>
        <v>-7968215.6290563252</v>
      </c>
      <c r="K15" s="108">
        <f>-'Note 6 to 8'!K30</f>
        <v>-8364630.2453333586</v>
      </c>
      <c r="L15" s="108">
        <f>-'Note 6 to 8'!L30</f>
        <v>-9622464.8239964899</v>
      </c>
    </row>
    <row r="16" spans="1:12" x14ac:dyDescent="0.25">
      <c r="A16" s="6" t="s">
        <v>1019</v>
      </c>
      <c r="B16" s="108">
        <f>-'Note 6 to 8'!B92</f>
        <v>-670305.65000000084</v>
      </c>
      <c r="C16" s="108">
        <f>-'Note 6 to 8'!C92</f>
        <v>-725391.97410435975</v>
      </c>
      <c r="D16" s="108">
        <f>-'Note 6 to 8'!D92</f>
        <v>-769602.92982635845</v>
      </c>
      <c r="E16" s="108">
        <f>-'Note 6 to 8'!E92</f>
        <v>-816483.16145177162</v>
      </c>
      <c r="F16" s="108">
        <f>-'Note 6 to 8'!F92</f>
        <v>-841534.7887111085</v>
      </c>
      <c r="G16" s="108">
        <f>-'Note 6 to 8'!G92</f>
        <v>-867328.03999237309</v>
      </c>
      <c r="H16" s="108">
        <f>-'Note 6 to 8'!H92</f>
        <v>-893884.3267117762</v>
      </c>
      <c r="I16" s="108">
        <f>-'Note 6 to 8'!I92</f>
        <v>-921225.66708021378</v>
      </c>
      <c r="J16" s="108">
        <f>-'Note 6 to 8'!J92</f>
        <v>-949374.70305528503</v>
      </c>
      <c r="K16" s="108">
        <f>-'Note 6 to 8'!K92</f>
        <v>-978354.71776154253</v>
      </c>
      <c r="L16" s="108">
        <f>-'Note 6 to 8'!L92</f>
        <v>-1008189.653391788</v>
      </c>
    </row>
    <row r="17" spans="1:12" x14ac:dyDescent="0.25">
      <c r="A17" s="159" t="s">
        <v>1063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</row>
    <row r="18" spans="1:12" x14ac:dyDescent="0.25">
      <c r="A18" s="6" t="s">
        <v>1064</v>
      </c>
      <c r="B18" s="108">
        <v>0</v>
      </c>
      <c r="C18" s="108">
        <v>0</v>
      </c>
      <c r="D18" s="108">
        <v>0</v>
      </c>
      <c r="E18" s="108">
        <v>0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108">
        <v>0</v>
      </c>
    </row>
    <row r="19" spans="1:12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 x14ac:dyDescent="0.25">
      <c r="A20" s="3" t="s">
        <v>1009</v>
      </c>
      <c r="B20" s="123">
        <f>SUM(B21:B27)</f>
        <v>17965511.910752423</v>
      </c>
      <c r="C20" s="123">
        <f t="shared" ref="C20:L20" si="3">SUM(C21:C27)</f>
        <v>21220424.278610796</v>
      </c>
      <c r="D20" s="123">
        <f t="shared" si="3"/>
        <v>21859565.416638963</v>
      </c>
      <c r="E20" s="123">
        <f t="shared" si="3"/>
        <v>22524963.669855811</v>
      </c>
      <c r="F20" s="123">
        <f t="shared" si="3"/>
        <v>23144707.632191438</v>
      </c>
      <c r="G20" s="123">
        <f t="shared" si="3"/>
        <v>23786376.886525385</v>
      </c>
      <c r="H20" s="123">
        <f t="shared" si="3"/>
        <v>24450763.926678833</v>
      </c>
      <c r="I20" s="123">
        <f t="shared" si="3"/>
        <v>25138690.428394124</v>
      </c>
      <c r="J20" s="123">
        <f t="shared" si="3"/>
        <v>25851008.34063606</v>
      </c>
      <c r="K20" s="123">
        <f t="shared" si="3"/>
        <v>26588601.018218197</v>
      </c>
      <c r="L20" s="123">
        <f t="shared" si="3"/>
        <v>27352384.397334673</v>
      </c>
    </row>
    <row r="21" spans="1:12" x14ac:dyDescent="0.25">
      <c r="A21" s="6" t="s">
        <v>899</v>
      </c>
      <c r="B21" s="108">
        <f>'Balance Sheet'!B36</f>
        <v>38288103.609999999</v>
      </c>
      <c r="C21" s="108">
        <f>'Balance Sheet'!C36</f>
        <v>42254068.224545211</v>
      </c>
      <c r="D21" s="108">
        <f>'Balance Sheet'!D36</f>
        <v>43630293.199334264</v>
      </c>
      <c r="E21" s="108">
        <f>'Balance Sheet'!E36</f>
        <v>45059793.402755797</v>
      </c>
      <c r="F21" s="108">
        <f>'Balance Sheet'!F36</f>
        <v>46471682.269123077</v>
      </c>
      <c r="G21" s="108">
        <f>'Balance Sheet'!G36</f>
        <v>47934604.051928431</v>
      </c>
      <c r="H21" s="108">
        <f>'Balance Sheet'!H36</f>
        <v>49450457.319464996</v>
      </c>
      <c r="I21" s="108">
        <f>'Balance Sheet'!I36</f>
        <v>51021212.862278134</v>
      </c>
      <c r="J21" s="108">
        <f>'Balance Sheet'!J36</f>
        <v>52648916.486307681</v>
      </c>
      <c r="K21" s="108">
        <f>'Balance Sheet'!K36</f>
        <v>54335691.915353164</v>
      </c>
      <c r="L21" s="108">
        <f>'Balance Sheet'!L36</f>
        <v>56083743.807177573</v>
      </c>
    </row>
    <row r="22" spans="1:12" x14ac:dyDescent="0.25">
      <c r="A22" s="6" t="s">
        <v>1005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 x14ac:dyDescent="0.25">
      <c r="A23" s="6" t="s">
        <v>1020</v>
      </c>
      <c r="B23" s="108">
        <f>-'Note 10 to 11'!B44</f>
        <v>-2851771.44</v>
      </c>
      <c r="C23" s="108">
        <f>-'Note 10 to 11'!C44</f>
        <v>-2923065.7260000003</v>
      </c>
      <c r="D23" s="108">
        <f>-'Note 10 to 11'!D44</f>
        <v>-2996142.3691500006</v>
      </c>
      <c r="E23" s="108">
        <f>-'Note 10 to 11'!E44</f>
        <v>-3071045.928378751</v>
      </c>
      <c r="F23" s="108">
        <f>-'Note 10 to 11'!F44</f>
        <v>-3147822.0765882204</v>
      </c>
      <c r="G23" s="108">
        <f>-'Note 10 to 11'!G44</f>
        <v>-3226517.6285029263</v>
      </c>
      <c r="H23" s="108">
        <f>-'Note 10 to 11'!H44</f>
        <v>-3307180.5692154998</v>
      </c>
      <c r="I23" s="108">
        <f>-'Note 10 to 11'!I44</f>
        <v>-3389860.0834458875</v>
      </c>
      <c r="J23" s="108">
        <f>-'Note 10 to 11'!J44</f>
        <v>-3474606.5855320352</v>
      </c>
      <c r="K23" s="108">
        <f>-'Note 10 to 11'!K44</f>
        <v>-3561471.7501703366</v>
      </c>
      <c r="L23" s="108">
        <f>-'Note 10 to 11'!L44</f>
        <v>-3650508.5439245952</v>
      </c>
    </row>
    <row r="24" spans="1:12" x14ac:dyDescent="0.25">
      <c r="A24" s="6" t="s">
        <v>1065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</row>
    <row r="25" spans="1:12" x14ac:dyDescent="0.25">
      <c r="A25" s="6" t="s">
        <v>1021</v>
      </c>
      <c r="B25" s="108">
        <f>-'Note 10 to 11'!B52</f>
        <v>-17470820.259247579</v>
      </c>
      <c r="C25" s="108">
        <f>-'Note 10 to 11'!C52</f>
        <v>-18110578.219934411</v>
      </c>
      <c r="D25" s="108">
        <f>-'Note 10 to 11'!D52</f>
        <v>-18774585.413545303</v>
      </c>
      <c r="E25" s="108">
        <f>-'Note 10 to 11'!E52</f>
        <v>-19463783.804521233</v>
      </c>
      <c r="F25" s="108">
        <f>-'Note 10 to 11'!F52</f>
        <v>-20179152.560343418</v>
      </c>
      <c r="G25" s="108">
        <f>-'Note 10 to 11'!G52</f>
        <v>-20921709.536900118</v>
      </c>
      <c r="H25" s="108">
        <f>-'Note 10 to 11'!H52</f>
        <v>-21692512.823570665</v>
      </c>
      <c r="I25" s="108">
        <f>-'Note 10 to 11'!I52</f>
        <v>-22492662.350438125</v>
      </c>
      <c r="J25" s="108">
        <f>-'Note 10 to 11'!J52</f>
        <v>-23323301.560139589</v>
      </c>
      <c r="K25" s="108">
        <f>-'Note 10 to 11'!K52</f>
        <v>-24185619.146964632</v>
      </c>
      <c r="L25" s="108">
        <f>-'Note 10 to 11'!L52</f>
        <v>-25080850.865918308</v>
      </c>
    </row>
    <row r="26" spans="1:12" x14ac:dyDescent="0.25">
      <c r="A26" s="159" t="s">
        <v>1066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</row>
    <row r="27" spans="1:12" x14ac:dyDescent="0.25">
      <c r="A27" s="159" t="s">
        <v>1067</v>
      </c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</row>
    <row r="29" spans="1:12" x14ac:dyDescent="0.25">
      <c r="A29" s="100" t="s">
        <v>1068</v>
      </c>
    </row>
    <row r="30" spans="1:12" x14ac:dyDescent="0.25">
      <c r="A30" s="44"/>
    </row>
    <row r="31" spans="1:12" x14ac:dyDescent="0.25">
      <c r="A31" s="115" t="s">
        <v>1069</v>
      </c>
      <c r="B31" s="128">
        <f>B34/B35</f>
        <v>0.42645852611162688</v>
      </c>
      <c r="C31" s="128">
        <f t="shared" ref="C31:L31" si="4">C34/C35</f>
        <v>0.42826051222998335</v>
      </c>
      <c r="D31" s="128">
        <f t="shared" si="4"/>
        <v>0.43000648333377955</v>
      </c>
      <c r="E31" s="128">
        <f t="shared" si="4"/>
        <v>0.43169768793302843</v>
      </c>
      <c r="F31" s="128">
        <f t="shared" si="4"/>
        <v>0.43333538173972347</v>
      </c>
      <c r="G31" s="128">
        <f t="shared" si="4"/>
        <v>0.4349208246031343</v>
      </c>
      <c r="H31" s="128">
        <f t="shared" si="4"/>
        <v>0.43645527764679931</v>
      </c>
      <c r="I31" s="128">
        <f t="shared" si="4"/>
        <v>0.43794000060318022</v>
      </c>
      <c r="J31" s="128">
        <f t="shared" si="4"/>
        <v>0.439376249341206</v>
      </c>
      <c r="K31" s="128">
        <f t="shared" si="4"/>
        <v>0.44076527358129453</v>
      </c>
      <c r="L31" s="128">
        <f t="shared" si="4"/>
        <v>0.4421083147919127</v>
      </c>
    </row>
    <row r="32" spans="1:12" x14ac:dyDescent="0.25">
      <c r="A32" s="50" t="s">
        <v>1070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 x14ac:dyDescent="0.25">
      <c r="A34" s="6" t="s">
        <v>1069</v>
      </c>
      <c r="B34" s="108">
        <f>'Note 6 to 8'!B48</f>
        <v>7881527</v>
      </c>
      <c r="C34" s="108">
        <f>'Note 6 to 8'!C48</f>
        <v>8202060.321921031</v>
      </c>
      <c r="D34" s="108">
        <f>'Note 6 to 8'!D48</f>
        <v>8535629.3931913618</v>
      </c>
      <c r="E34" s="108">
        <f>'Note 6 to 8'!E48</f>
        <v>8882764.363874888</v>
      </c>
      <c r="F34" s="108">
        <f>'Note 6 to 8'!F48</f>
        <v>9244016.9446748495</v>
      </c>
      <c r="G34" s="108">
        <f>'Note 6 to 8'!G48</f>
        <v>9619961.2837820984</v>
      </c>
      <c r="H34" s="108">
        <f>'Note 6 to 8'!H48</f>
        <v>10011194.879383862</v>
      </c>
      <c r="I34" s="108">
        <f>'Note 6 to 8'!I48</f>
        <v>10418339.52928327</v>
      </c>
      <c r="J34" s="108">
        <f>'Note 6 to 8'!J48</f>
        <v>10842042.319138886</v>
      </c>
      <c r="K34" s="108">
        <f>'Note 6 to 8'!K48</f>
        <v>11282976.650894901</v>
      </c>
      <c r="L34" s="108">
        <f>'Note 6 to 8'!L48</f>
        <v>11741843.313036485</v>
      </c>
    </row>
    <row r="35" spans="1:12" x14ac:dyDescent="0.25">
      <c r="A35" s="6" t="s">
        <v>1070</v>
      </c>
      <c r="B35" s="108">
        <f>-'Note 10 to 11'!B34-'Note 10 to 11'!B38</f>
        <v>18481344.649999999</v>
      </c>
      <c r="C35" s="108">
        <f>-'Note 10 to 11'!C34-'Note 10 to 11'!C38</f>
        <v>19152035.006011438</v>
      </c>
      <c r="D35" s="108">
        <f>-'Note 10 to 11'!D34-'Note 10 to 11'!D38</f>
        <v>19850001.625593718</v>
      </c>
      <c r="E35" s="108">
        <f>-'Note 10 to 11'!E34-'Note 10 to 11'!E38</f>
        <v>20576353.805380858</v>
      </c>
      <c r="F35" s="108">
        <f>-'Note 10 to 11'!F34-'Note 10 to 11'!F38</f>
        <v>21332245.955921348</v>
      </c>
      <c r="G35" s="108">
        <f>-'Note 10 to 11'!G34-'Note 10 to 11'!G38</f>
        <v>22118879.436413106</v>
      </c>
      <c r="H35" s="108">
        <f>-'Note 10 to 11'!H34-'Note 10 to 11'!H38</f>
        <v>22937504.464055087</v>
      </c>
      <c r="I35" s="108">
        <f>-'Note 10 to 11'!I34-'Note 10 to 11'!I38</f>
        <v>23789422.101050284</v>
      </c>
      <c r="J35" s="108">
        <f>-'Note 10 to 11'!J34-'Note 10 to 11'!J38</f>
        <v>24675986.322417922</v>
      </c>
      <c r="K35" s="108">
        <f>-'Note 10 to 11'!K34-'Note 10 to 11'!K38</f>
        <v>25598606.16790146</v>
      </c>
      <c r="L35" s="108">
        <f>-'Note 10 to 11'!L34-'Note 10 to 11'!L38</f>
        <v>26558747.98139235</v>
      </c>
    </row>
    <row r="37" spans="1:12" x14ac:dyDescent="0.25">
      <c r="A37" s="100" t="s">
        <v>1071</v>
      </c>
    </row>
    <row r="38" spans="1:12" x14ac:dyDescent="0.25">
      <c r="A38" s="44"/>
    </row>
    <row r="39" spans="1:12" x14ac:dyDescent="0.25">
      <c r="A39" s="115" t="s">
        <v>942</v>
      </c>
      <c r="B39" s="128">
        <f>B42/B43</f>
        <v>0.2196565963385306</v>
      </c>
      <c r="C39" s="128">
        <f t="shared" ref="C39:L39" si="5">C42/C43</f>
        <v>0.43634476843034337</v>
      </c>
      <c r="D39" s="128">
        <f t="shared" si="5"/>
        <v>0.22784025550015735</v>
      </c>
      <c r="E39" s="128">
        <f t="shared" si="5"/>
        <v>0.23496368374506038</v>
      </c>
      <c r="F39" s="128">
        <f t="shared" si="5"/>
        <v>0.22271344408773075</v>
      </c>
      <c r="G39" s="128">
        <f t="shared" si="5"/>
        <v>0.21765306724324793</v>
      </c>
      <c r="H39" s="128">
        <f t="shared" si="5"/>
        <v>0.21123533639796191</v>
      </c>
      <c r="I39" s="128">
        <f t="shared" si="5"/>
        <v>0.20043596589036192</v>
      </c>
      <c r="J39" s="128">
        <f t="shared" si="5"/>
        <v>0.20277274863975134</v>
      </c>
      <c r="K39" s="128">
        <f t="shared" si="5"/>
        <v>0.20476003401769993</v>
      </c>
      <c r="L39" s="128">
        <f t="shared" si="5"/>
        <v>0.20055333313800239</v>
      </c>
    </row>
    <row r="40" spans="1:12" x14ac:dyDescent="0.25">
      <c r="A40" s="6" t="s">
        <v>1072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 x14ac:dyDescent="0.25">
      <c r="A41" s="6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 x14ac:dyDescent="0.25">
      <c r="A42" s="6" t="s">
        <v>942</v>
      </c>
      <c r="B42" s="108">
        <f>'Capital Exp Statement'!B26</f>
        <v>32554122.405163612</v>
      </c>
      <c r="C42" s="108">
        <f>'Capital Exp Statement'!C26</f>
        <v>68030740.131023794</v>
      </c>
      <c r="D42" s="108">
        <f>'Capital Exp Statement'!D26</f>
        <v>36018195.262958676</v>
      </c>
      <c r="E42" s="108">
        <f>'Capital Exp Statement'!E26</f>
        <v>38764533.306306779</v>
      </c>
      <c r="F42" s="108">
        <f>'Capital Exp Statement'!F26</f>
        <v>37806273.321478195</v>
      </c>
      <c r="G42" s="108">
        <f>'Capital Exp Statement'!G26</f>
        <v>38019987.422320604</v>
      </c>
      <c r="H42" s="108">
        <f>'Capital Exp Statement'!H26</f>
        <v>38031136.602929346</v>
      </c>
      <c r="I42" s="108">
        <f>'Capital Exp Statement'!I26</f>
        <v>37181587.197268181</v>
      </c>
      <c r="J42" s="108">
        <f>'Capital Exp Statement'!J26</f>
        <v>38755967.474462181</v>
      </c>
      <c r="K42" s="108">
        <f>'Capital Exp Statement'!K26</f>
        <v>40268913.291296363</v>
      </c>
      <c r="L42" s="108">
        <f>'Capital Exp Statement'!L26</f>
        <v>40591055.075547986</v>
      </c>
    </row>
    <row r="43" spans="1:12" x14ac:dyDescent="0.25">
      <c r="A43" s="6" t="s">
        <v>1072</v>
      </c>
      <c r="B43" s="108">
        <f>'Income Statement'!B19</f>
        <v>148204620.06518489</v>
      </c>
      <c r="C43" s="108">
        <f>'Income Statement'!C19</f>
        <v>155910520.88409305</v>
      </c>
      <c r="D43" s="108">
        <f>'Income Statement'!D19</f>
        <v>158085300.52729774</v>
      </c>
      <c r="E43" s="108">
        <f>'Income Statement'!E19</f>
        <v>164980956.58206892</v>
      </c>
      <c r="F43" s="108">
        <f>'Income Statement'!F19</f>
        <v>169752991.23202297</v>
      </c>
      <c r="G43" s="108">
        <f>'Income Statement'!G19</f>
        <v>174681606.39256999</v>
      </c>
      <c r="H43" s="108">
        <f>'Income Statement'!H19</f>
        <v>180041546.32196417</v>
      </c>
      <c r="I43" s="108">
        <f>'Income Statement'!I19</f>
        <v>185503569.84138483</v>
      </c>
      <c r="J43" s="108">
        <f>'Income Statement'!J19</f>
        <v>191130059.3124401</v>
      </c>
      <c r="K43" s="108">
        <f>'Income Statement'!K19</f>
        <v>196663931.43798473</v>
      </c>
      <c r="L43" s="108">
        <f>'Income Statement'!L19</f>
        <v>202395315.20334768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4"/>
  <sheetViews>
    <sheetView zoomScale="115" zoomScaleNormal="115" workbookViewId="0">
      <pane xSplit="3" ySplit="5" topLeftCell="D51" activePane="bottomRight" state="frozen"/>
      <selection pane="topRight" activeCell="D1" sqref="D1"/>
      <selection pane="bottomLeft" activeCell="A6" sqref="A6"/>
      <selection pane="bottomRight" activeCell="I59" sqref="I59"/>
    </sheetView>
  </sheetViews>
  <sheetFormatPr defaultRowHeight="15" x14ac:dyDescent="0.25"/>
  <cols>
    <col min="1" max="1" width="21.42578125" customWidth="1"/>
    <col min="2" max="2" width="31" customWidth="1"/>
    <col min="3" max="3" width="16.28515625" customWidth="1"/>
    <col min="4" max="14" width="12.7109375" customWidth="1"/>
  </cols>
  <sheetData>
    <row r="1" spans="1:14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ht="18" customHeight="1" x14ac:dyDescent="0.25">
      <c r="A2" s="1" t="s">
        <v>629</v>
      </c>
      <c r="B2" s="6"/>
      <c r="C2" s="6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x14ac:dyDescent="0.25">
      <c r="A4" s="195" t="s">
        <v>630</v>
      </c>
      <c r="B4" s="195" t="s">
        <v>631</v>
      </c>
      <c r="C4" s="195" t="s">
        <v>632</v>
      </c>
      <c r="D4" s="7" t="s">
        <v>7</v>
      </c>
      <c r="E4" s="12" t="s">
        <v>8</v>
      </c>
      <c r="F4" s="12" t="s">
        <v>9</v>
      </c>
      <c r="G4" s="12" t="s">
        <v>10</v>
      </c>
      <c r="H4" s="12" t="s">
        <v>11</v>
      </c>
      <c r="I4" s="12" t="s">
        <v>12</v>
      </c>
      <c r="J4" s="12" t="s">
        <v>13</v>
      </c>
      <c r="K4" s="12" t="s">
        <v>14</v>
      </c>
      <c r="L4" s="12" t="s">
        <v>15</v>
      </c>
      <c r="M4" s="12" t="s">
        <v>16</v>
      </c>
      <c r="N4" s="12" t="s">
        <v>17</v>
      </c>
    </row>
    <row r="5" spans="1:14" x14ac:dyDescent="0.25">
      <c r="A5" s="195"/>
      <c r="B5" s="195"/>
      <c r="C5" s="195"/>
      <c r="D5" s="7">
        <f>BASE_YR</f>
        <v>2018</v>
      </c>
      <c r="E5" s="12">
        <f>D5+1</f>
        <v>2019</v>
      </c>
      <c r="F5" s="12">
        <f t="shared" ref="F5:N5" si="0">E5+1</f>
        <v>2020</v>
      </c>
      <c r="G5" s="12">
        <f t="shared" si="0"/>
        <v>2021</v>
      </c>
      <c r="H5" s="12">
        <f t="shared" si="0"/>
        <v>2022</v>
      </c>
      <c r="I5" s="12">
        <f t="shared" si="0"/>
        <v>2023</v>
      </c>
      <c r="J5" s="12">
        <f t="shared" si="0"/>
        <v>2024</v>
      </c>
      <c r="K5" s="12">
        <f t="shared" si="0"/>
        <v>2025</v>
      </c>
      <c r="L5" s="12">
        <f t="shared" si="0"/>
        <v>2026</v>
      </c>
      <c r="M5" s="12">
        <f t="shared" si="0"/>
        <v>2027</v>
      </c>
      <c r="N5" s="12">
        <f t="shared" si="0"/>
        <v>2028</v>
      </c>
    </row>
    <row r="7" spans="1:14" x14ac:dyDescent="0.25">
      <c r="A7" s="83" t="s">
        <v>627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</row>
    <row r="8" spans="1:14" x14ac:dyDescent="0.25">
      <c r="A8" s="86" t="s">
        <v>634</v>
      </c>
      <c r="B8" s="86" t="s">
        <v>635</v>
      </c>
      <c r="C8" s="86"/>
      <c r="D8" s="87">
        <f>'[4]10 Year Plan'!B139-SUM(D9:D10)</f>
        <v>2997025.14</v>
      </c>
      <c r="E8" s="87">
        <f>'[4]10 Year Plan'!C139-SUM(E9:E10)</f>
        <v>4710948</v>
      </c>
      <c r="F8" s="87">
        <f>'[4]10 Year Plan'!D139-SUM(F9:F10)</f>
        <v>2719840</v>
      </c>
      <c r="G8" s="87">
        <f>'[4]10 Year Plan'!E139-SUM(G9:G10)</f>
        <v>5681625</v>
      </c>
      <c r="H8" s="87">
        <f>'[4]10 Year Plan'!F139-SUM(H9:H10)</f>
        <v>4574456</v>
      </c>
      <c r="I8" s="87">
        <f>'[4]10 Year Plan'!G139-SUM(I9:I10)</f>
        <v>4212030</v>
      </c>
      <c r="J8" s="87">
        <f>'[4]10 Year Plan'!H139-SUM(J9:J10)</f>
        <v>3891052</v>
      </c>
      <c r="K8" s="87">
        <f>'[4]10 Year Plan'!I139-SUM(K9:K10)</f>
        <v>3363337</v>
      </c>
      <c r="L8" s="87">
        <f>'[4]10 Year Plan'!J139-SUM(L9:L10)</f>
        <v>4864489</v>
      </c>
      <c r="M8" s="87">
        <f>'[4]10 Year Plan'!K139-SUM(M9:M10)</f>
        <v>7354591</v>
      </c>
      <c r="N8" s="87">
        <f>'[4]10 Year Plan'!L139-SUM(N9:N10)</f>
        <v>4056303</v>
      </c>
    </row>
    <row r="9" spans="1:14" x14ac:dyDescent="0.25">
      <c r="A9" s="86" t="s">
        <v>636</v>
      </c>
      <c r="B9" s="86" t="s">
        <v>637</v>
      </c>
      <c r="C9" s="86"/>
      <c r="D9" s="87">
        <f>'[4]10 Year Plan'!B101</f>
        <v>405000</v>
      </c>
      <c r="E9" s="87">
        <f>'[4]10 Year Plan'!C101</f>
        <v>2644807</v>
      </c>
      <c r="F9" s="87">
        <f>'[4]10 Year Plan'!D101</f>
        <v>213415</v>
      </c>
      <c r="G9" s="87">
        <f>'[4]10 Year Plan'!E101</f>
        <v>1042206</v>
      </c>
      <c r="H9" s="87">
        <f>'[4]10 Year Plan'!F101</f>
        <v>427409</v>
      </c>
      <c r="I9" s="87">
        <f>'[4]10 Year Plan'!G101</f>
        <v>154740</v>
      </c>
      <c r="J9" s="87">
        <f>'[4]10 Year Plan'!H101</f>
        <v>2791019</v>
      </c>
      <c r="K9" s="87">
        <f>'[4]10 Year Plan'!I101</f>
        <v>399593</v>
      </c>
      <c r="L9" s="87">
        <f>'[4]10 Year Plan'!J101</f>
        <v>996885</v>
      </c>
      <c r="M9" s="87">
        <f>'[4]10 Year Plan'!K101</f>
        <v>645390</v>
      </c>
      <c r="N9" s="87">
        <f>'[4]10 Year Plan'!L101</f>
        <v>0</v>
      </c>
    </row>
    <row r="10" spans="1:14" x14ac:dyDescent="0.25">
      <c r="A10" s="86" t="s">
        <v>26</v>
      </c>
      <c r="B10" s="86" t="s">
        <v>638</v>
      </c>
      <c r="C10" s="86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</row>
    <row r="11" spans="1:14" x14ac:dyDescent="0.25">
      <c r="A11" s="83" t="s">
        <v>633</v>
      </c>
      <c r="B11" s="84"/>
      <c r="C11" s="84"/>
      <c r="D11" s="85">
        <f>SUBTOTAL(9,D8:D10)</f>
        <v>3402025.14</v>
      </c>
      <c r="E11" s="85">
        <f>SUBTOTAL(9,E8:E10)</f>
        <v>7355755</v>
      </c>
      <c r="F11" s="85">
        <f t="shared" ref="F11:N11" si="1">SUBTOTAL(9,F8:F10)</f>
        <v>2933255</v>
      </c>
      <c r="G11" s="85">
        <f t="shared" si="1"/>
        <v>6723831</v>
      </c>
      <c r="H11" s="85">
        <f t="shared" si="1"/>
        <v>5001865</v>
      </c>
      <c r="I11" s="85">
        <f t="shared" si="1"/>
        <v>4366770</v>
      </c>
      <c r="J11" s="85">
        <f t="shared" si="1"/>
        <v>6682071</v>
      </c>
      <c r="K11" s="85">
        <f t="shared" si="1"/>
        <v>3762930</v>
      </c>
      <c r="L11" s="85">
        <f t="shared" si="1"/>
        <v>5861374</v>
      </c>
      <c r="M11" s="85">
        <f t="shared" si="1"/>
        <v>7999981</v>
      </c>
      <c r="N11" s="85">
        <f t="shared" si="1"/>
        <v>4056303</v>
      </c>
    </row>
    <row r="13" spans="1:14" x14ac:dyDescent="0.25">
      <c r="A13" s="83" t="s">
        <v>601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</row>
    <row r="14" spans="1:14" s="44" customFormat="1" x14ac:dyDescent="0.25">
      <c r="A14" s="86" t="s">
        <v>646</v>
      </c>
      <c r="B14" s="86" t="s">
        <v>647</v>
      </c>
      <c r="C14" s="86"/>
      <c r="D14" s="87">
        <f>'[6]ICT Strategy'!$H$121</f>
        <v>370000</v>
      </c>
      <c r="E14" s="87">
        <v>0</v>
      </c>
      <c r="F14" s="87">
        <f>E14*(1+Assumptions!D9)</f>
        <v>0</v>
      </c>
      <c r="G14" s="87">
        <f>F14*(1+Assumptions!E9)</f>
        <v>0</v>
      </c>
      <c r="H14" s="87">
        <f>G14*(1+Assumptions!F9)</f>
        <v>0</v>
      </c>
      <c r="I14" s="87">
        <f>H14*(1+Assumptions!G9)</f>
        <v>0</v>
      </c>
      <c r="J14" s="87">
        <f>I14*(1+Assumptions!H9)</f>
        <v>0</v>
      </c>
      <c r="K14" s="87">
        <f>J14*(1+Assumptions!I9)</f>
        <v>0</v>
      </c>
      <c r="L14" s="87">
        <f>K14*(1+Assumptions!J9)</f>
        <v>0</v>
      </c>
      <c r="M14" s="87">
        <f>L14*(1+Assumptions!K9)</f>
        <v>0</v>
      </c>
      <c r="N14" s="87">
        <f>M14*(1+Assumptions!L9)</f>
        <v>0</v>
      </c>
    </row>
    <row r="15" spans="1:14" x14ac:dyDescent="0.25">
      <c r="A15" s="86" t="s">
        <v>651</v>
      </c>
      <c r="B15" s="86" t="s">
        <v>647</v>
      </c>
      <c r="C15" s="86"/>
      <c r="D15" s="87">
        <v>0</v>
      </c>
      <c r="E15" s="87">
        <v>1200000</v>
      </c>
      <c r="F15" s="87">
        <f t="shared" ref="F15:I15" si="2">E15</f>
        <v>1200000</v>
      </c>
      <c r="G15" s="87">
        <f t="shared" si="2"/>
        <v>1200000</v>
      </c>
      <c r="H15" s="87">
        <f t="shared" si="2"/>
        <v>1200000</v>
      </c>
      <c r="I15" s="87">
        <f t="shared" si="2"/>
        <v>1200000</v>
      </c>
      <c r="J15" s="87">
        <v>1000000</v>
      </c>
      <c r="K15" s="87">
        <v>500000</v>
      </c>
      <c r="L15" s="87">
        <v>1000000</v>
      </c>
      <c r="M15" s="87">
        <v>1500000</v>
      </c>
      <c r="N15" s="87">
        <v>2000000</v>
      </c>
    </row>
    <row r="16" spans="1:14" x14ac:dyDescent="0.25">
      <c r="A16" s="83" t="s">
        <v>648</v>
      </c>
      <c r="B16" s="84"/>
      <c r="C16" s="84"/>
      <c r="D16" s="85">
        <f>SUBTOTAL(9,D14:D15)</f>
        <v>370000</v>
      </c>
      <c r="E16" s="85">
        <f t="shared" ref="E16:N16" si="3">SUBTOTAL(9,E14:E15)</f>
        <v>1200000</v>
      </c>
      <c r="F16" s="85">
        <f t="shared" si="3"/>
        <v>1200000</v>
      </c>
      <c r="G16" s="85">
        <f t="shared" si="3"/>
        <v>1200000</v>
      </c>
      <c r="H16" s="85">
        <f t="shared" si="3"/>
        <v>1200000</v>
      </c>
      <c r="I16" s="85">
        <f t="shared" si="3"/>
        <v>1200000</v>
      </c>
      <c r="J16" s="85">
        <f t="shared" si="3"/>
        <v>1000000</v>
      </c>
      <c r="K16" s="85">
        <f t="shared" si="3"/>
        <v>500000</v>
      </c>
      <c r="L16" s="85">
        <f t="shared" si="3"/>
        <v>1000000</v>
      </c>
      <c r="M16" s="85">
        <f t="shared" si="3"/>
        <v>1500000</v>
      </c>
      <c r="N16" s="85">
        <f t="shared" si="3"/>
        <v>2000000</v>
      </c>
    </row>
    <row r="18" spans="1:15" x14ac:dyDescent="0.25">
      <c r="A18" s="83" t="s">
        <v>602</v>
      </c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</row>
    <row r="19" spans="1:15" x14ac:dyDescent="0.25">
      <c r="A19" s="86" t="s">
        <v>649</v>
      </c>
      <c r="B19" s="86" t="s">
        <v>650</v>
      </c>
      <c r="C19" s="86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5" x14ac:dyDescent="0.25">
      <c r="A20" s="86" t="s">
        <v>26</v>
      </c>
      <c r="B20" s="86" t="s">
        <v>638</v>
      </c>
      <c r="C20" s="86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5" x14ac:dyDescent="0.25">
      <c r="A21" s="86" t="s">
        <v>651</v>
      </c>
      <c r="B21" s="86"/>
      <c r="C21" s="86"/>
      <c r="D21" s="87">
        <f>300000-SUM(D19:D20)</f>
        <v>300000</v>
      </c>
      <c r="E21" s="87">
        <f t="shared" ref="E21:F21" si="4">300000-SUM(E19:E20)</f>
        <v>300000</v>
      </c>
      <c r="F21" s="87">
        <f t="shared" si="4"/>
        <v>300000</v>
      </c>
      <c r="G21" s="87">
        <v>300000</v>
      </c>
      <c r="H21" s="87">
        <v>300000</v>
      </c>
      <c r="I21" s="87">
        <f t="shared" ref="I21:K21" si="5">300000-SUM(I19:I20)</f>
        <v>300000</v>
      </c>
      <c r="J21" s="87">
        <f t="shared" ref="J21" si="6">300000-SUM(J19:J20)</f>
        <v>300000</v>
      </c>
      <c r="K21" s="87">
        <f t="shared" si="5"/>
        <v>300000</v>
      </c>
      <c r="L21" s="87">
        <f t="shared" ref="L21" si="7">300000-SUM(L19:L20)</f>
        <v>300000</v>
      </c>
      <c r="M21" s="87">
        <f t="shared" ref="M21" si="8">300000-SUM(M19:M20)</f>
        <v>300000</v>
      </c>
      <c r="N21" s="87">
        <f t="shared" ref="N21" si="9">300000-SUM(N19:N20)</f>
        <v>300000</v>
      </c>
    </row>
    <row r="22" spans="1:15" x14ac:dyDescent="0.25">
      <c r="A22" s="83" t="s">
        <v>652</v>
      </c>
      <c r="B22" s="84"/>
      <c r="C22" s="84"/>
      <c r="D22" s="85">
        <f>SUBTOTAL(9,D19:D21)</f>
        <v>300000</v>
      </c>
      <c r="E22" s="85">
        <f t="shared" ref="E22:N22" si="10">SUBTOTAL(9,E19:E21)</f>
        <v>300000</v>
      </c>
      <c r="F22" s="85">
        <f t="shared" si="10"/>
        <v>300000</v>
      </c>
      <c r="G22" s="85">
        <f t="shared" si="10"/>
        <v>300000</v>
      </c>
      <c r="H22" s="85">
        <f t="shared" si="10"/>
        <v>300000</v>
      </c>
      <c r="I22" s="85">
        <f t="shared" si="10"/>
        <v>300000</v>
      </c>
      <c r="J22" s="85">
        <f t="shared" si="10"/>
        <v>300000</v>
      </c>
      <c r="K22" s="85">
        <f t="shared" si="10"/>
        <v>300000</v>
      </c>
      <c r="L22" s="85">
        <f t="shared" si="10"/>
        <v>300000</v>
      </c>
      <c r="M22" s="85">
        <f t="shared" si="10"/>
        <v>300000</v>
      </c>
      <c r="N22" s="85">
        <f t="shared" si="10"/>
        <v>300000</v>
      </c>
    </row>
    <row r="24" spans="1:15" x14ac:dyDescent="0.25">
      <c r="A24" s="83" t="s">
        <v>643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</row>
    <row r="25" spans="1:15" x14ac:dyDescent="0.25">
      <c r="A25" s="86" t="s">
        <v>651</v>
      </c>
      <c r="B25" s="86" t="s">
        <v>656</v>
      </c>
      <c r="C25" s="86" t="s">
        <v>657</v>
      </c>
      <c r="D25" s="87">
        <f>'[8]Parks Program 2017-18'!$K$78</f>
        <v>100000</v>
      </c>
      <c r="E25" s="87">
        <f>D25*(1+Assumptions!C16)</f>
        <v>108218.09037479527</v>
      </c>
      <c r="F25" s="87">
        <f>E25*(1+Assumptions!D16)</f>
        <v>114813.73159041067</v>
      </c>
      <c r="G25" s="87">
        <f>F25*(1+Assumptions!E16)</f>
        <v>121807.59053004711</v>
      </c>
      <c r="H25" s="87">
        <f>G25*(1+Assumptions!F16)</f>
        <v>125544.93442075381</v>
      </c>
      <c r="I25" s="87">
        <f>H25*(1+Assumptions!G16)</f>
        <v>129392.91799082584</v>
      </c>
      <c r="J25" s="87">
        <f>I25*(1+Assumptions!H16)</f>
        <v>133354.73551681612</v>
      </c>
      <c r="K25" s="87">
        <f>J25*(1+Assumptions!I16)</f>
        <v>137433.67180035147</v>
      </c>
      <c r="L25" s="87">
        <f>K25*(1+Assumptions!J16)</f>
        <v>141633.10469713091</v>
      </c>
      <c r="M25" s="87">
        <f>L25*(1+Assumptions!K16)</f>
        <v>145956.50771577732</v>
      </c>
      <c r="N25" s="87">
        <f>M25*(1+Assumptions!L16)</f>
        <v>150407.45268845442</v>
      </c>
    </row>
    <row r="26" spans="1:15" x14ac:dyDescent="0.25">
      <c r="A26" s="86" t="s">
        <v>649</v>
      </c>
      <c r="B26" s="86" t="s">
        <v>650</v>
      </c>
      <c r="C26" s="86" t="s">
        <v>658</v>
      </c>
      <c r="D26" s="87">
        <f>[3]Sheet1!E113</f>
        <v>0</v>
      </c>
      <c r="E26" s="87">
        <f>[3]Sheet1!F113</f>
        <v>0</v>
      </c>
      <c r="F26" s="87">
        <f>[3]Sheet1!G113</f>
        <v>50000</v>
      </c>
      <c r="G26" s="87">
        <f>[3]Sheet1!H113</f>
        <v>150000</v>
      </c>
      <c r="H26" s="87">
        <f>[3]Sheet1!I113</f>
        <v>175000</v>
      </c>
      <c r="I26" s="87">
        <f>[3]Sheet1!J113</f>
        <v>125000</v>
      </c>
      <c r="J26" s="87">
        <f>[3]Sheet1!K113</f>
        <v>175000</v>
      </c>
      <c r="K26" s="87">
        <f>[3]Sheet1!L113</f>
        <v>225000</v>
      </c>
      <c r="L26" s="87">
        <f>[3]Sheet1!M113</f>
        <v>175000</v>
      </c>
      <c r="M26" s="87">
        <f>[3]Sheet1!N113</f>
        <v>125000</v>
      </c>
      <c r="N26" s="87">
        <f>[3]Sheet1!O113</f>
        <v>175000</v>
      </c>
    </row>
    <row r="27" spans="1:15" x14ac:dyDescent="0.25">
      <c r="A27" s="86" t="s">
        <v>26</v>
      </c>
      <c r="B27" s="86" t="s">
        <v>638</v>
      </c>
      <c r="C27" s="86" t="s">
        <v>658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</row>
    <row r="28" spans="1:15" x14ac:dyDescent="0.25">
      <c r="A28" s="83" t="s">
        <v>659</v>
      </c>
      <c r="B28" s="84"/>
      <c r="C28" s="84"/>
      <c r="D28" s="85">
        <f>SUBTOTAL(9,D25:D27)</f>
        <v>100000</v>
      </c>
      <c r="E28" s="85">
        <f t="shared" ref="E28:N28" si="11">SUBTOTAL(9,E25:E27)</f>
        <v>108218.09037479527</v>
      </c>
      <c r="F28" s="85">
        <f t="shared" si="11"/>
        <v>164813.73159041067</v>
      </c>
      <c r="G28" s="85">
        <f t="shared" si="11"/>
        <v>271807.59053004708</v>
      </c>
      <c r="H28" s="85">
        <f t="shared" si="11"/>
        <v>300544.93442075379</v>
      </c>
      <c r="I28" s="85">
        <f t="shared" si="11"/>
        <v>254392.91799082584</v>
      </c>
      <c r="J28" s="85">
        <f t="shared" si="11"/>
        <v>308354.73551681614</v>
      </c>
      <c r="K28" s="85">
        <f t="shared" si="11"/>
        <v>362433.67180035147</v>
      </c>
      <c r="L28" s="85">
        <f t="shared" si="11"/>
        <v>316633.10469713091</v>
      </c>
      <c r="M28" s="85">
        <f t="shared" si="11"/>
        <v>270956.50771577732</v>
      </c>
      <c r="N28" s="85">
        <f t="shared" si="11"/>
        <v>325407.45268845442</v>
      </c>
      <c r="O28" s="27" t="s">
        <v>660</v>
      </c>
    </row>
    <row r="29" spans="1:15" s="44" customFormat="1" x14ac:dyDescent="0.25">
      <c r="A29" s="154" t="s">
        <v>1183</v>
      </c>
      <c r="B29" s="154"/>
      <c r="C29" s="154"/>
      <c r="D29" s="155">
        <f>SUMIF($C$25:$C$27,"New",D$25:D$27)</f>
        <v>0</v>
      </c>
      <c r="E29" s="155">
        <f t="shared" ref="E29:N29" si="12">SUMIF($C$25:$C$27,"New",E$25:E$27)</f>
        <v>0</v>
      </c>
      <c r="F29" s="155">
        <f t="shared" si="12"/>
        <v>50000</v>
      </c>
      <c r="G29" s="155">
        <f t="shared" si="12"/>
        <v>150000</v>
      </c>
      <c r="H29" s="155">
        <f t="shared" si="12"/>
        <v>175000</v>
      </c>
      <c r="I29" s="155">
        <f t="shared" si="12"/>
        <v>125000</v>
      </c>
      <c r="J29" s="155">
        <f t="shared" si="12"/>
        <v>175000</v>
      </c>
      <c r="K29" s="155">
        <f t="shared" si="12"/>
        <v>225000</v>
      </c>
      <c r="L29" s="155">
        <f t="shared" si="12"/>
        <v>175000</v>
      </c>
      <c r="M29" s="155">
        <f t="shared" si="12"/>
        <v>125000</v>
      </c>
      <c r="N29" s="155">
        <f t="shared" si="12"/>
        <v>175000</v>
      </c>
    </row>
    <row r="30" spans="1:15" s="44" customFormat="1" x14ac:dyDescent="0.25">
      <c r="A30" s="154" t="s">
        <v>1184</v>
      </c>
      <c r="B30" s="154"/>
      <c r="C30" s="154"/>
      <c r="D30" s="155">
        <f>SUMIF($C$25:$C$27,"Renewal",D$25:D$27)</f>
        <v>100000</v>
      </c>
      <c r="E30" s="155">
        <f t="shared" ref="E30:N30" si="13">SUMIF($C$25:$C$27,"Renewal",E$25:E$27)</f>
        <v>108218.09037479527</v>
      </c>
      <c r="F30" s="155">
        <f t="shared" si="13"/>
        <v>114813.73159041067</v>
      </c>
      <c r="G30" s="155">
        <f t="shared" si="13"/>
        <v>121807.59053004711</v>
      </c>
      <c r="H30" s="155">
        <f t="shared" si="13"/>
        <v>125544.93442075381</v>
      </c>
      <c r="I30" s="155">
        <f t="shared" si="13"/>
        <v>129392.91799082584</v>
      </c>
      <c r="J30" s="155">
        <f t="shared" si="13"/>
        <v>133354.73551681612</v>
      </c>
      <c r="K30" s="155">
        <f t="shared" si="13"/>
        <v>137433.67180035147</v>
      </c>
      <c r="L30" s="155">
        <f t="shared" si="13"/>
        <v>141633.10469713091</v>
      </c>
      <c r="M30" s="155">
        <f t="shared" si="13"/>
        <v>145956.50771577732</v>
      </c>
      <c r="N30" s="155">
        <f t="shared" si="13"/>
        <v>150407.45268845442</v>
      </c>
    </row>
    <row r="31" spans="1:15" x14ac:dyDescent="0.25">
      <c r="D31" s="156">
        <f>D28-SUM(D29:D30)</f>
        <v>0</v>
      </c>
      <c r="E31" s="156">
        <f t="shared" ref="E31" si="14">E28-SUM(E29:E30)</f>
        <v>0</v>
      </c>
      <c r="F31" s="156">
        <f t="shared" ref="F31" si="15">F28-SUM(F29:F30)</f>
        <v>0</v>
      </c>
      <c r="G31" s="156">
        <f t="shared" ref="G31" si="16">G28-SUM(G29:G30)</f>
        <v>0</v>
      </c>
      <c r="H31" s="156">
        <f t="shared" ref="H31" si="17">H28-SUM(H29:H30)</f>
        <v>0</v>
      </c>
      <c r="I31" s="156">
        <f t="shared" ref="I31" si="18">I28-SUM(I29:I30)</f>
        <v>0</v>
      </c>
      <c r="J31" s="156">
        <f t="shared" ref="J31" si="19">J28-SUM(J29:J30)</f>
        <v>0</v>
      </c>
      <c r="K31" s="156">
        <f t="shared" ref="K31" si="20">K28-SUM(K29:K30)</f>
        <v>0</v>
      </c>
      <c r="L31" s="156">
        <f t="shared" ref="L31" si="21">L28-SUM(L29:L30)</f>
        <v>0</v>
      </c>
      <c r="M31" s="156">
        <f t="shared" ref="M31" si="22">M28-SUM(M29:M30)</f>
        <v>0</v>
      </c>
      <c r="N31" s="156">
        <f t="shared" ref="N31" si="23">N28-SUM(N29:N30)</f>
        <v>0</v>
      </c>
    </row>
    <row r="32" spans="1:15" x14ac:dyDescent="0.25">
      <c r="A32" s="83" t="s">
        <v>661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</row>
    <row r="33" spans="1:15" x14ac:dyDescent="0.25">
      <c r="A33" s="86" t="s">
        <v>651</v>
      </c>
      <c r="B33" s="86" t="s">
        <v>662</v>
      </c>
      <c r="C33" s="86" t="s">
        <v>658</v>
      </c>
      <c r="D33" s="87">
        <f>'[9]Buildings Program 2017-18 '!$K$27*0.28</f>
        <v>1610000.0000000002</v>
      </c>
      <c r="E33" s="87">
        <f>D33*(1+Assumptions!C16)</f>
        <v>1742311.2550342039</v>
      </c>
      <c r="F33" s="87">
        <f>E33*(1+Assumptions!D16)</f>
        <v>1848501.0786056116</v>
      </c>
      <c r="G33" s="87">
        <f>F33*(1+Assumptions!E16)</f>
        <v>1961102.2075337581</v>
      </c>
      <c r="H33" s="87">
        <f>G33*(1+Assumptions!F16)</f>
        <v>2021273.444174136</v>
      </c>
      <c r="I33" s="87">
        <f>H33*(1+Assumptions!G16)</f>
        <v>2083225.9796522956</v>
      </c>
      <c r="J33" s="87">
        <f>I33*(1+Assumptions!H16)</f>
        <v>2147011.2418207391</v>
      </c>
      <c r="K33" s="87">
        <f>J33*(1+Assumptions!I16)</f>
        <v>2212682.1159856585</v>
      </c>
      <c r="L33" s="87">
        <f>K33*(1+Assumptions!J16)</f>
        <v>2280292.9856238076</v>
      </c>
      <c r="M33" s="87">
        <f>L33*(1+Assumptions!K16)</f>
        <v>2349899.774224015</v>
      </c>
      <c r="N33" s="87">
        <f>M33*(1+Assumptions!L16)</f>
        <v>2421559.9882841161</v>
      </c>
    </row>
    <row r="34" spans="1:15" x14ac:dyDescent="0.25">
      <c r="A34" s="86" t="s">
        <v>651</v>
      </c>
      <c r="B34" s="86" t="s">
        <v>662</v>
      </c>
      <c r="C34" s="86" t="s">
        <v>657</v>
      </c>
      <c r="D34" s="87">
        <f>'[9]Buildings Program 2017-18 '!$K$27*0.72</f>
        <v>4140000</v>
      </c>
      <c r="E34" s="87">
        <f>D34*(1+Assumptions!C16)</f>
        <v>4480228.9415165242</v>
      </c>
      <c r="F34" s="87">
        <f>(E34+E43)*(1+Assumptions!D16)-1000000</f>
        <v>3753288.4878430013</v>
      </c>
      <c r="G34" s="87">
        <f>F34*(1+Assumptions!E16)</f>
        <v>3981919.4179601418</v>
      </c>
      <c r="H34" s="87">
        <f>G34*(1+Assumptions!F16)</f>
        <v>4104094.0882351338</v>
      </c>
      <c r="I34" s="87">
        <f>H34*(1+Assumptions!G16)</f>
        <v>4229885.5962272547</v>
      </c>
      <c r="J34" s="87">
        <f>I34*(1+Assumptions!H16)</f>
        <v>4359398.3636049498</v>
      </c>
      <c r="K34" s="87">
        <f>J34*(1+Assumptions!I16)</f>
        <v>4492739.7713230932</v>
      </c>
      <c r="L34" s="87">
        <f>K34*(1+Assumptions!J16)</f>
        <v>4630020.2422965486</v>
      </c>
      <c r="M34" s="87">
        <f>L34*(1+Assumptions!K16)</f>
        <v>4771353.3263572585</v>
      </c>
      <c r="N34" s="87">
        <f>M34*(1+Assumptions!L16)</f>
        <v>4916855.7875573514</v>
      </c>
    </row>
    <row r="35" spans="1:15" x14ac:dyDescent="0.25">
      <c r="A35" s="86" t="s">
        <v>651</v>
      </c>
      <c r="B35" s="86" t="s">
        <v>1194</v>
      </c>
      <c r="C35" s="86" t="s">
        <v>658</v>
      </c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</row>
    <row r="36" spans="1:15" x14ac:dyDescent="0.25">
      <c r="A36" s="86" t="s">
        <v>649</v>
      </c>
      <c r="B36" s="86" t="s">
        <v>650</v>
      </c>
      <c r="C36" s="86" t="s">
        <v>657</v>
      </c>
      <c r="D36" s="87">
        <f>[3]Sheet1!E114</f>
        <v>92891.917012499995</v>
      </c>
      <c r="E36" s="87">
        <f>[3]Sheet1!F114</f>
        <v>94749.755352749999</v>
      </c>
      <c r="F36" s="87">
        <f>[3]Sheet1!G114</f>
        <v>96644.750459805</v>
      </c>
      <c r="G36" s="87">
        <f>[3]Sheet1!H114</f>
        <v>700114.29700131202</v>
      </c>
      <c r="H36" s="87">
        <f>[3]Sheet1!I114</f>
        <v>503708.40026365913</v>
      </c>
      <c r="I36" s="87">
        <f>[3]Sheet1!J114</f>
        <v>507431.53183312446</v>
      </c>
      <c r="J36" s="87">
        <f>[3]Sheet1!K114</f>
        <v>611288.32382593362</v>
      </c>
      <c r="K36" s="87">
        <f>[3]Sheet1!L114</f>
        <v>713251.57465128461</v>
      </c>
      <c r="L36" s="87">
        <f>[3]Sheet1!M114</f>
        <v>517317.3061812658</v>
      </c>
      <c r="M36" s="87">
        <f>[3]Sheet1!N114</f>
        <v>521528.99747317325</v>
      </c>
      <c r="N36" s="87">
        <f>[3]Sheet1!O114</f>
        <v>625891.88848246017</v>
      </c>
    </row>
    <row r="37" spans="1:15" x14ac:dyDescent="0.25">
      <c r="A37" s="86" t="s">
        <v>663</v>
      </c>
      <c r="B37" s="86" t="s">
        <v>662</v>
      </c>
      <c r="C37" s="86" t="s">
        <v>658</v>
      </c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</row>
    <row r="38" spans="1:15" x14ac:dyDescent="0.25">
      <c r="A38" s="86" t="s">
        <v>663</v>
      </c>
      <c r="B38" s="86" t="s">
        <v>1191</v>
      </c>
      <c r="C38" s="86" t="s">
        <v>657</v>
      </c>
      <c r="D38" s="87"/>
      <c r="E38" s="87">
        <v>3000000</v>
      </c>
      <c r="F38" s="87"/>
      <c r="G38" s="87"/>
      <c r="H38" s="87"/>
      <c r="I38" s="87"/>
      <c r="J38" s="87"/>
      <c r="K38" s="87"/>
      <c r="L38" s="87"/>
      <c r="M38" s="87"/>
      <c r="N38" s="87"/>
    </row>
    <row r="39" spans="1:15" x14ac:dyDescent="0.25">
      <c r="A39" s="86" t="s">
        <v>1199</v>
      </c>
      <c r="B39" s="86" t="s">
        <v>1191</v>
      </c>
      <c r="C39" s="86" t="s">
        <v>657</v>
      </c>
      <c r="D39" s="87"/>
      <c r="E39" s="87">
        <v>7000000</v>
      </c>
      <c r="F39" s="87"/>
      <c r="G39" s="87"/>
      <c r="H39" s="87"/>
      <c r="I39" s="87"/>
      <c r="J39" s="87"/>
      <c r="K39" s="87"/>
      <c r="L39" s="87"/>
      <c r="M39" s="87"/>
      <c r="N39" s="87"/>
    </row>
    <row r="40" spans="1:15" s="44" customFormat="1" x14ac:dyDescent="0.25">
      <c r="A40" s="86" t="s">
        <v>1199</v>
      </c>
      <c r="B40" s="86" t="s">
        <v>1191</v>
      </c>
      <c r="C40" s="86" t="s">
        <v>658</v>
      </c>
      <c r="D40" s="87"/>
      <c r="E40" s="87">
        <v>9000000</v>
      </c>
      <c r="F40" s="87"/>
      <c r="G40" s="87"/>
      <c r="H40" s="87"/>
      <c r="I40" s="87"/>
      <c r="J40" s="87"/>
      <c r="K40" s="87"/>
      <c r="L40" s="87"/>
      <c r="M40" s="87"/>
      <c r="N40" s="87"/>
    </row>
    <row r="41" spans="1:15" s="44" customFormat="1" x14ac:dyDescent="0.25">
      <c r="A41" s="86" t="s">
        <v>1199</v>
      </c>
      <c r="B41" s="86" t="s">
        <v>1191</v>
      </c>
      <c r="C41" s="86" t="s">
        <v>658</v>
      </c>
      <c r="D41" s="87"/>
      <c r="E41" s="87">
        <v>3000000</v>
      </c>
      <c r="F41" s="87"/>
      <c r="G41" s="87"/>
      <c r="H41" s="87"/>
      <c r="I41" s="87"/>
      <c r="J41" s="87"/>
      <c r="K41" s="87"/>
      <c r="L41" s="87"/>
      <c r="M41" s="87"/>
      <c r="N41" s="87"/>
    </row>
    <row r="42" spans="1:15" s="44" customFormat="1" x14ac:dyDescent="0.25">
      <c r="A42" s="86" t="s">
        <v>1199</v>
      </c>
      <c r="B42" s="86" t="s">
        <v>1198</v>
      </c>
      <c r="C42" s="86" t="s">
        <v>657</v>
      </c>
      <c r="D42" s="87"/>
      <c r="E42" s="87">
        <v>8000000</v>
      </c>
      <c r="F42" s="87"/>
      <c r="G42" s="87"/>
      <c r="H42" s="87"/>
      <c r="I42" s="87"/>
      <c r="J42" s="87"/>
      <c r="K42" s="87"/>
      <c r="L42" s="87"/>
      <c r="M42" s="87"/>
      <c r="N42" s="87"/>
    </row>
    <row r="43" spans="1:15" x14ac:dyDescent="0.25">
      <c r="A43" s="86" t="s">
        <v>651</v>
      </c>
      <c r="B43" s="86" t="s">
        <v>1195</v>
      </c>
      <c r="C43" s="86" t="s">
        <v>657</v>
      </c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</row>
    <row r="44" spans="1:15" x14ac:dyDescent="0.25">
      <c r="A44" s="86" t="s">
        <v>651</v>
      </c>
      <c r="B44" s="86" t="s">
        <v>664</v>
      </c>
      <c r="C44" s="86" t="s">
        <v>658</v>
      </c>
      <c r="D44" s="87"/>
      <c r="E44" s="87"/>
      <c r="F44" s="87">
        <v>500000</v>
      </c>
      <c r="G44" s="87">
        <v>500000</v>
      </c>
      <c r="H44" s="87">
        <v>500000</v>
      </c>
      <c r="I44" s="87">
        <v>500000</v>
      </c>
      <c r="J44" s="87">
        <v>500000</v>
      </c>
      <c r="K44" s="87"/>
      <c r="L44" s="87"/>
      <c r="M44" s="87"/>
      <c r="N44" s="87"/>
    </row>
    <row r="45" spans="1:15" x14ac:dyDescent="0.25">
      <c r="A45" s="86" t="s">
        <v>651</v>
      </c>
      <c r="B45" s="86" t="s">
        <v>664</v>
      </c>
      <c r="C45" s="86" t="s">
        <v>657</v>
      </c>
      <c r="D45" s="87">
        <v>1500000</v>
      </c>
      <c r="E45" s="87">
        <v>400000</v>
      </c>
      <c r="F45" s="87">
        <v>400000</v>
      </c>
      <c r="G45" s="87">
        <v>400000</v>
      </c>
      <c r="H45" s="87">
        <v>400000</v>
      </c>
      <c r="I45" s="87">
        <v>400000</v>
      </c>
      <c r="J45" s="87">
        <v>400000</v>
      </c>
      <c r="K45" s="87">
        <v>500000</v>
      </c>
      <c r="L45" s="87"/>
      <c r="M45" s="87"/>
      <c r="N45" s="87"/>
      <c r="O45" s="27"/>
    </row>
    <row r="46" spans="1:15" x14ac:dyDescent="0.25">
      <c r="A46" s="83" t="s">
        <v>665</v>
      </c>
      <c r="B46" s="84"/>
      <c r="C46" s="84"/>
      <c r="D46" s="85">
        <f>SUBTOTAL(9,D33:D45)</f>
        <v>7342891.9170124996</v>
      </c>
      <c r="E46" s="85">
        <f>SUBTOTAL(9,E33:E45)</f>
        <v>36717289.951903477</v>
      </c>
      <c r="F46" s="85">
        <f>SUBTOTAL(9,F33:F45)</f>
        <v>6598434.3169084182</v>
      </c>
      <c r="G46" s="85">
        <f t="shared" ref="G46:N46" si="24">SUBTOTAL(9,G33:G45)</f>
        <v>7543135.9224952124</v>
      </c>
      <c r="H46" s="85">
        <f t="shared" si="24"/>
        <v>7529075.9326729281</v>
      </c>
      <c r="I46" s="85">
        <f t="shared" si="24"/>
        <v>7720543.1077126749</v>
      </c>
      <c r="J46" s="85">
        <f t="shared" si="24"/>
        <v>8017697.9292516233</v>
      </c>
      <c r="K46" s="85">
        <f t="shared" si="24"/>
        <v>7918673.4619600363</v>
      </c>
      <c r="L46" s="85">
        <f t="shared" si="24"/>
        <v>7427630.5341016222</v>
      </c>
      <c r="M46" s="85">
        <f t="shared" si="24"/>
        <v>7642782.0980544463</v>
      </c>
      <c r="N46" s="85">
        <f t="shared" si="24"/>
        <v>7964307.6643239269</v>
      </c>
    </row>
    <row r="47" spans="1:15" s="44" customFormat="1" x14ac:dyDescent="0.25">
      <c r="A47" s="154" t="s">
        <v>1166</v>
      </c>
      <c r="B47" s="154"/>
      <c r="C47" s="154"/>
      <c r="D47" s="155">
        <f>SUMIF($C$33:$C$45,"New",D$33:D$45)</f>
        <v>1610000.0000000002</v>
      </c>
      <c r="E47" s="155">
        <f t="shared" ref="E47:N47" si="25">SUMIF($C$33:$C$45,"New",E$33:E$45)</f>
        <v>13742311.255034205</v>
      </c>
      <c r="F47" s="155">
        <f t="shared" si="25"/>
        <v>2348501.0786056118</v>
      </c>
      <c r="G47" s="155">
        <f t="shared" si="25"/>
        <v>2461102.2075337581</v>
      </c>
      <c r="H47" s="155">
        <f t="shared" si="25"/>
        <v>2521273.444174136</v>
      </c>
      <c r="I47" s="155">
        <f t="shared" si="25"/>
        <v>2583225.9796522958</v>
      </c>
      <c r="J47" s="155">
        <f t="shared" si="25"/>
        <v>2647011.2418207391</v>
      </c>
      <c r="K47" s="155">
        <f t="shared" si="25"/>
        <v>2212682.1159856585</v>
      </c>
      <c r="L47" s="155">
        <f t="shared" si="25"/>
        <v>2280292.9856238076</v>
      </c>
      <c r="M47" s="155">
        <f t="shared" si="25"/>
        <v>2349899.774224015</v>
      </c>
      <c r="N47" s="155">
        <f t="shared" si="25"/>
        <v>2421559.9882841161</v>
      </c>
    </row>
    <row r="48" spans="1:15" s="44" customFormat="1" x14ac:dyDescent="0.25">
      <c r="A48" s="154" t="s">
        <v>1167</v>
      </c>
      <c r="B48" s="154"/>
      <c r="C48" s="154"/>
      <c r="D48" s="155">
        <f>SUMIF($C$33:$C$45,"Renewal",D$33:D$45)</f>
        <v>5732891.9170124996</v>
      </c>
      <c r="E48" s="155">
        <f t="shared" ref="E48:N48" si="26">SUMIF($C$33:$C$45,"Renewal",E$33:E$45)</f>
        <v>22974978.696869276</v>
      </c>
      <c r="F48" s="155">
        <f t="shared" si="26"/>
        <v>4249933.2383028064</v>
      </c>
      <c r="G48" s="155">
        <f t="shared" si="26"/>
        <v>5082033.7149614543</v>
      </c>
      <c r="H48" s="155">
        <f t="shared" si="26"/>
        <v>5007802.488498793</v>
      </c>
      <c r="I48" s="155">
        <f t="shared" si="26"/>
        <v>5137317.1280603791</v>
      </c>
      <c r="J48" s="155">
        <f t="shared" si="26"/>
        <v>5370686.6874308838</v>
      </c>
      <c r="K48" s="155">
        <f t="shared" si="26"/>
        <v>5705991.3459743783</v>
      </c>
      <c r="L48" s="155">
        <f t="shared" si="26"/>
        <v>5147337.5484778145</v>
      </c>
      <c r="M48" s="155">
        <f t="shared" si="26"/>
        <v>5292882.3238304313</v>
      </c>
      <c r="N48" s="155">
        <f t="shared" si="26"/>
        <v>5542747.6760398112</v>
      </c>
    </row>
    <row r="49" spans="1:15" ht="18" customHeight="1" x14ac:dyDescent="0.25">
      <c r="A49" s="59"/>
      <c r="B49" s="59"/>
      <c r="C49" s="59"/>
      <c r="D49" s="156">
        <f>D46-SUM(D47:D48)</f>
        <v>0</v>
      </c>
      <c r="E49" s="156">
        <f t="shared" ref="E49:N49" si="27">E46-SUM(E47:E48)</f>
        <v>0</v>
      </c>
      <c r="F49" s="156">
        <f t="shared" si="27"/>
        <v>0</v>
      </c>
      <c r="G49" s="156">
        <f t="shared" si="27"/>
        <v>0</v>
      </c>
      <c r="H49" s="156">
        <f t="shared" si="27"/>
        <v>0</v>
      </c>
      <c r="I49" s="156">
        <f t="shared" si="27"/>
        <v>0</v>
      </c>
      <c r="J49" s="156">
        <f t="shared" si="27"/>
        <v>0</v>
      </c>
      <c r="K49" s="156">
        <f t="shared" si="27"/>
        <v>0</v>
      </c>
      <c r="L49" s="156">
        <f t="shared" si="27"/>
        <v>0</v>
      </c>
      <c r="M49" s="156">
        <f t="shared" si="27"/>
        <v>0</v>
      </c>
      <c r="N49" s="156">
        <f t="shared" si="27"/>
        <v>0</v>
      </c>
    </row>
    <row r="50" spans="1:15" x14ac:dyDescent="0.25">
      <c r="A50" s="83" t="s">
        <v>667</v>
      </c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</row>
    <row r="51" spans="1:15" x14ac:dyDescent="0.25">
      <c r="A51" s="86" t="s">
        <v>651</v>
      </c>
      <c r="B51" s="86" t="s">
        <v>668</v>
      </c>
      <c r="C51" s="86" t="s">
        <v>658</v>
      </c>
      <c r="D51" s="87">
        <f>'[10]Roads Construction 2017-18'!$L$126</f>
        <v>40000</v>
      </c>
      <c r="E51" s="87">
        <f>D51*(1+Assumptions!C$16)</f>
        <v>43287.236149918106</v>
      </c>
      <c r="F51" s="87">
        <f>E51*(1+Assumptions!D$16)</f>
        <v>45925.492636164265</v>
      </c>
      <c r="G51" s="87">
        <f>F51*(1+Assumptions!E$16)</f>
        <v>48723.036212018837</v>
      </c>
      <c r="H51" s="87">
        <f>G51*(1+Assumptions!F$16)</f>
        <v>50217.973768301519</v>
      </c>
      <c r="I51" s="87">
        <f>H51*(1+Assumptions!G$16)</f>
        <v>51757.167196330331</v>
      </c>
      <c r="J51" s="87">
        <f>I51*(1+Assumptions!H$16)</f>
        <v>53341.894206726443</v>
      </c>
      <c r="K51" s="87">
        <f>J51*(1+Assumptions!I$16)</f>
        <v>54973.46872014059</v>
      </c>
      <c r="L51" s="87">
        <f>K51*(1+Assumptions!J$16)</f>
        <v>56653.241878852365</v>
      </c>
      <c r="M51" s="87">
        <f>L51*(1+Assumptions!K$16)</f>
        <v>58382.603086310926</v>
      </c>
      <c r="N51" s="87">
        <f>M51*(1+Assumptions!L$16)</f>
        <v>60162.981075381758</v>
      </c>
    </row>
    <row r="52" spans="1:15" x14ac:dyDescent="0.25">
      <c r="A52" s="86" t="s">
        <v>651</v>
      </c>
      <c r="B52" s="86" t="s">
        <v>668</v>
      </c>
      <c r="C52" s="86" t="s">
        <v>657</v>
      </c>
      <c r="D52" s="87">
        <f>'[10]Roads Construction 2017-18'!$L$127-D55</f>
        <v>1180000</v>
      </c>
      <c r="E52" s="87">
        <f>(D52+D55)*(1+Assumptions!C$16)-E55</f>
        <v>4350205.1207245402</v>
      </c>
      <c r="F52" s="87">
        <f>(E52+E55)*(1+Assumptions!D$16)-F55</f>
        <v>3767709.209672994</v>
      </c>
      <c r="G52" s="87">
        <f>(F52+F55)*(1+Assumptions!E$16)-1000000</f>
        <v>6710420.4805519804</v>
      </c>
      <c r="H52" s="87">
        <f>G52*(1+Assumptions!F$16)</f>
        <v>6916311.9925499754</v>
      </c>
      <c r="I52" s="87">
        <f>H52*(1+Assumptions!G$16)</f>
        <v>7128298.6811058847</v>
      </c>
      <c r="J52" s="87">
        <f>I52*(1+Assumptions!H$16)-500000</f>
        <v>6846556.5199723141</v>
      </c>
      <c r="K52" s="87">
        <f>J52*(1+Assumptions!I$16)-500000</f>
        <v>6555972.9137611128</v>
      </c>
      <c r="L52" s="87">
        <f>K52*(1+Assumptions!J$16)</f>
        <v>6756297.6810745988</v>
      </c>
      <c r="M52" s="87">
        <f>L52*(1+Assumptions!K$16)</f>
        <v>6962536.1720806025</v>
      </c>
      <c r="N52" s="87">
        <f>M52*(1+Assumptions!L$16)</f>
        <v>7174858.7732252628</v>
      </c>
    </row>
    <row r="53" spans="1:15" x14ac:dyDescent="0.25">
      <c r="A53" s="86" t="s">
        <v>669</v>
      </c>
      <c r="B53" s="86" t="s">
        <v>668</v>
      </c>
      <c r="C53" s="86" t="s">
        <v>658</v>
      </c>
      <c r="D53" s="87">
        <f>'[10]Roads Construction 2017-18'!$G$126+'[10]Roads Construction 2017-18'!$H$126</f>
        <v>210000</v>
      </c>
      <c r="E53" s="87">
        <f>D53*(1+Assumptions!C$9)</f>
        <v>215249.99999999997</v>
      </c>
      <c r="F53" s="87">
        <f>E53*(1+Assumptions!D$9)</f>
        <v>220631.24999999994</v>
      </c>
      <c r="G53" s="87">
        <f>F53*(1+Assumptions!E$9)</f>
        <v>226147.03124999991</v>
      </c>
      <c r="H53" s="87">
        <f>G53*(1+Assumptions!F$9)</f>
        <v>231800.70703124988</v>
      </c>
      <c r="I53" s="87">
        <f>H53*(1+Assumptions!G$9)</f>
        <v>237595.7247070311</v>
      </c>
      <c r="J53" s="87">
        <f>I53*(1+Assumptions!H$9)</f>
        <v>243535.61782470686</v>
      </c>
      <c r="K53" s="87">
        <f>J53*(1+Assumptions!I$9)</f>
        <v>249624.0082703245</v>
      </c>
      <c r="L53" s="87">
        <f>K53*(1+Assumptions!J$9)</f>
        <v>255864.6084770826</v>
      </c>
      <c r="M53" s="87">
        <f>L53*(1+Assumptions!K$9)</f>
        <v>262261.22368900967</v>
      </c>
      <c r="N53" s="87">
        <f>M53*(1+Assumptions!L$9)</f>
        <v>268817.75428123487</v>
      </c>
    </row>
    <row r="54" spans="1:15" x14ac:dyDescent="0.25">
      <c r="A54" s="86" t="s">
        <v>669</v>
      </c>
      <c r="B54" s="86" t="s">
        <v>668</v>
      </c>
      <c r="C54" s="86" t="s">
        <v>657</v>
      </c>
      <c r="D54" s="87">
        <f>'[10]Roads Construction 2017-18'!$G$127+'[10]Roads Construction 2017-18'!$H$127</f>
        <v>2256495</v>
      </c>
      <c r="E54" s="87">
        <f>D54*(1+Assumptions!C$9)</f>
        <v>2312907.375</v>
      </c>
      <c r="F54" s="87">
        <f>E54*(1+Assumptions!D$9)</f>
        <v>2370730.0593749997</v>
      </c>
      <c r="G54" s="87">
        <f>F54*(1+Assumptions!E$9)</f>
        <v>2429998.3108593747</v>
      </c>
      <c r="H54" s="87">
        <f>G54*(1+Assumptions!F$9)</f>
        <v>2490748.268630859</v>
      </c>
      <c r="I54" s="87">
        <f>H54*(1+Assumptions!G$9)</f>
        <v>2553016.9753466304</v>
      </c>
      <c r="J54" s="87">
        <f>I54*(1+Assumptions!H$9)</f>
        <v>2616842.3997302959</v>
      </c>
      <c r="K54" s="87">
        <f>J54*(1+Assumptions!I$9)</f>
        <v>2682263.4597235532</v>
      </c>
      <c r="L54" s="87">
        <f>K54*(1+Assumptions!J$9)</f>
        <v>2749320.0462166416</v>
      </c>
      <c r="M54" s="87">
        <f>L54*(1+Assumptions!K$9)</f>
        <v>2818053.0473720576</v>
      </c>
      <c r="N54" s="87">
        <f>M54*(1+Assumptions!L$9)</f>
        <v>2888504.3735563587</v>
      </c>
    </row>
    <row r="55" spans="1:15" x14ac:dyDescent="0.25">
      <c r="A55" s="86" t="s">
        <v>651</v>
      </c>
      <c r="B55" s="86" t="s">
        <v>1194</v>
      </c>
      <c r="C55" s="86" t="s">
        <v>658</v>
      </c>
      <c r="D55" s="87">
        <v>5150000</v>
      </c>
      <c r="E55" s="87">
        <v>2500000</v>
      </c>
      <c r="F55" s="87">
        <v>3500000</v>
      </c>
      <c r="G55" s="87"/>
      <c r="H55" s="87"/>
      <c r="I55" s="87"/>
      <c r="J55" s="87"/>
      <c r="K55" s="87"/>
      <c r="L55" s="87"/>
      <c r="M55" s="87"/>
      <c r="N55" s="87"/>
    </row>
    <row r="56" spans="1:15" x14ac:dyDescent="0.25">
      <c r="A56" s="86" t="s">
        <v>649</v>
      </c>
      <c r="B56" s="86" t="s">
        <v>650</v>
      </c>
      <c r="C56" s="86" t="s">
        <v>657</v>
      </c>
      <c r="D56" s="87">
        <f>'[10]Roads Construction 2017-18'!$K$127</f>
        <v>1500000</v>
      </c>
      <c r="E56" s="87">
        <f>D56</f>
        <v>1500000</v>
      </c>
      <c r="F56" s="87">
        <f t="shared" ref="F56:J56" si="28">E56</f>
        <v>1500000</v>
      </c>
      <c r="G56" s="87">
        <f t="shared" si="28"/>
        <v>1500000</v>
      </c>
      <c r="H56" s="87">
        <f t="shared" si="28"/>
        <v>1500000</v>
      </c>
      <c r="I56" s="87">
        <f t="shared" si="28"/>
        <v>1500000</v>
      </c>
      <c r="J56" s="87">
        <f t="shared" si="28"/>
        <v>1500000</v>
      </c>
      <c r="K56" s="87">
        <f>J56+500000</f>
        <v>2000000</v>
      </c>
      <c r="L56" s="87">
        <f t="shared" ref="L56" si="29">K56</f>
        <v>2000000</v>
      </c>
      <c r="M56" s="87">
        <f t="shared" ref="M56" si="30">L56</f>
        <v>2000000</v>
      </c>
      <c r="N56" s="87">
        <f>M56</f>
        <v>2000000</v>
      </c>
    </row>
    <row r="57" spans="1:15" x14ac:dyDescent="0.25">
      <c r="A57" s="86" t="s">
        <v>26</v>
      </c>
      <c r="B57" s="86" t="s">
        <v>638</v>
      </c>
      <c r="C57" s="86" t="s">
        <v>658</v>
      </c>
      <c r="D57" s="87">
        <f>'[10]Roads Construction 2017-18'!$I$126</f>
        <v>100000</v>
      </c>
      <c r="E57" s="87">
        <f>D57</f>
        <v>100000</v>
      </c>
      <c r="F57" s="87"/>
      <c r="G57" s="87"/>
      <c r="H57" s="87"/>
      <c r="I57" s="87"/>
      <c r="J57" s="87"/>
      <c r="K57" s="87"/>
      <c r="L57" s="87"/>
      <c r="M57" s="87"/>
      <c r="N57" s="87"/>
    </row>
    <row r="58" spans="1:15" x14ac:dyDescent="0.25">
      <c r="A58" s="86" t="s">
        <v>26</v>
      </c>
      <c r="B58" s="86" t="s">
        <v>638</v>
      </c>
      <c r="C58" s="86" t="s">
        <v>657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</row>
    <row r="59" spans="1:15" x14ac:dyDescent="0.25">
      <c r="A59" s="86" t="s">
        <v>651</v>
      </c>
      <c r="B59" s="86" t="s">
        <v>664</v>
      </c>
      <c r="C59" s="86" t="s">
        <v>658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</row>
    <row r="60" spans="1:15" x14ac:dyDescent="0.25">
      <c r="A60" s="86" t="s">
        <v>651</v>
      </c>
      <c r="B60" s="86" t="s">
        <v>664</v>
      </c>
      <c r="C60" s="86" t="s">
        <v>657</v>
      </c>
      <c r="D60" s="87">
        <v>500000</v>
      </c>
      <c r="E60" s="80">
        <v>800000</v>
      </c>
      <c r="F60" s="80">
        <v>800000</v>
      </c>
      <c r="G60" s="80"/>
      <c r="H60" s="80"/>
      <c r="I60" s="80"/>
      <c r="J60" s="80"/>
      <c r="K60" s="80"/>
      <c r="L60" s="80"/>
      <c r="M60" s="80"/>
      <c r="N60" s="80"/>
      <c r="O60" s="27" t="s">
        <v>666</v>
      </c>
    </row>
    <row r="61" spans="1:15" x14ac:dyDescent="0.25">
      <c r="A61" s="83" t="s">
        <v>670</v>
      </c>
      <c r="B61" s="84"/>
      <c r="C61" s="84"/>
      <c r="D61" s="85">
        <f>SUBTOTAL(9,D51:D60)</f>
        <v>10936495</v>
      </c>
      <c r="E61" s="85">
        <f>SUBTOTAL(9,E51:E60)</f>
        <v>11821649.731874458</v>
      </c>
      <c r="F61" s="85">
        <f t="shared" ref="F61:N61" si="31">SUBTOTAL(9,F51:F60)</f>
        <v>12204996.011684157</v>
      </c>
      <c r="G61" s="85">
        <f t="shared" si="31"/>
        <v>10915288.858873375</v>
      </c>
      <c r="H61" s="85">
        <f t="shared" si="31"/>
        <v>11189078.941980386</v>
      </c>
      <c r="I61" s="85">
        <f t="shared" si="31"/>
        <v>11470668.548355877</v>
      </c>
      <c r="J61" s="85">
        <f t="shared" si="31"/>
        <v>11260276.431734044</v>
      </c>
      <c r="K61" s="85">
        <f t="shared" si="31"/>
        <v>11542833.850475131</v>
      </c>
      <c r="L61" s="85">
        <f t="shared" si="31"/>
        <v>11818135.577647176</v>
      </c>
      <c r="M61" s="85">
        <f t="shared" si="31"/>
        <v>12101233.04622798</v>
      </c>
      <c r="N61" s="85">
        <f t="shared" si="31"/>
        <v>12392343.882138237</v>
      </c>
    </row>
    <row r="62" spans="1:15" s="44" customFormat="1" x14ac:dyDescent="0.25">
      <c r="A62" s="154" t="s">
        <v>1177</v>
      </c>
      <c r="B62" s="154"/>
      <c r="C62" s="154"/>
      <c r="D62" s="155">
        <f>SUMIF($C$51:$C$60,"New",D$51:D$60)</f>
        <v>5500000</v>
      </c>
      <c r="E62" s="155">
        <f t="shared" ref="E62:N62" si="32">SUMIF($C$51:$C$60,"New",E$51:E$60)</f>
        <v>2858537.2361499183</v>
      </c>
      <c r="F62" s="155">
        <f t="shared" si="32"/>
        <v>3766556.7426361642</v>
      </c>
      <c r="G62" s="155">
        <f t="shared" si="32"/>
        <v>274870.06746201875</v>
      </c>
      <c r="H62" s="155">
        <f t="shared" si="32"/>
        <v>282018.68079955142</v>
      </c>
      <c r="I62" s="155">
        <f t="shared" si="32"/>
        <v>289352.89190336142</v>
      </c>
      <c r="J62" s="155">
        <f t="shared" si="32"/>
        <v>296877.51203143329</v>
      </c>
      <c r="K62" s="155">
        <f t="shared" si="32"/>
        <v>304597.47699046507</v>
      </c>
      <c r="L62" s="155">
        <f t="shared" si="32"/>
        <v>312517.85035593493</v>
      </c>
      <c r="M62" s="155">
        <f t="shared" si="32"/>
        <v>320643.82677532057</v>
      </c>
      <c r="N62" s="155">
        <f t="shared" si="32"/>
        <v>328980.73535661661</v>
      </c>
    </row>
    <row r="63" spans="1:15" s="44" customFormat="1" x14ac:dyDescent="0.25">
      <c r="A63" s="154" t="s">
        <v>1178</v>
      </c>
      <c r="B63" s="154"/>
      <c r="C63" s="154"/>
      <c r="D63" s="155">
        <f>SUMIF($C$51:$C$60,"Renewal",D$51:D$60)</f>
        <v>5436495</v>
      </c>
      <c r="E63" s="155">
        <f t="shared" ref="E63:N63" si="33">SUMIF($C$51:$C$60,"Renewal",E$51:E$60)</f>
        <v>8963112.4957245402</v>
      </c>
      <c r="F63" s="155">
        <f t="shared" si="33"/>
        <v>8438439.2690479942</v>
      </c>
      <c r="G63" s="155">
        <f t="shared" si="33"/>
        <v>10640418.791411355</v>
      </c>
      <c r="H63" s="155">
        <f t="shared" si="33"/>
        <v>10907060.261180835</v>
      </c>
      <c r="I63" s="155">
        <f t="shared" si="33"/>
        <v>11181315.656452514</v>
      </c>
      <c r="J63" s="155">
        <f t="shared" si="33"/>
        <v>10963398.91970261</v>
      </c>
      <c r="K63" s="155">
        <f t="shared" si="33"/>
        <v>11238236.373484666</v>
      </c>
      <c r="L63" s="155">
        <f t="shared" si="33"/>
        <v>11505617.727291241</v>
      </c>
      <c r="M63" s="155">
        <f t="shared" si="33"/>
        <v>11780589.219452661</v>
      </c>
      <c r="N63" s="155">
        <f t="shared" si="33"/>
        <v>12063363.146781622</v>
      </c>
    </row>
    <row r="64" spans="1:15" x14ac:dyDescent="0.25">
      <c r="D64" s="156">
        <f>D61-SUM(D62:D63)</f>
        <v>0</v>
      </c>
      <c r="E64" s="156">
        <f t="shared" ref="E64" si="34">E61-SUM(E62:E63)</f>
        <v>0</v>
      </c>
      <c r="F64" s="156">
        <f t="shared" ref="F64" si="35">F61-SUM(F62:F63)</f>
        <v>0</v>
      </c>
      <c r="G64" s="156">
        <f t="shared" ref="G64" si="36">G61-SUM(G62:G63)</f>
        <v>0</v>
      </c>
      <c r="H64" s="156">
        <f t="shared" ref="H64" si="37">H61-SUM(H62:H63)</f>
        <v>0</v>
      </c>
      <c r="I64" s="156">
        <f t="shared" ref="I64" si="38">I61-SUM(I62:I63)</f>
        <v>0</v>
      </c>
      <c r="J64" s="156">
        <f t="shared" ref="J64" si="39">J61-SUM(J62:J63)</f>
        <v>0</v>
      </c>
      <c r="K64" s="156">
        <f t="shared" ref="K64" si="40">K61-SUM(K62:K63)</f>
        <v>0</v>
      </c>
      <c r="L64" s="156">
        <f t="shared" ref="L64" si="41">L61-SUM(L62:L63)</f>
        <v>0</v>
      </c>
      <c r="M64" s="156">
        <f t="shared" ref="M64" si="42">M61-SUM(M62:M63)</f>
        <v>0</v>
      </c>
      <c r="N64" s="156">
        <f t="shared" ref="N64" si="43">N61-SUM(N62:N63)</f>
        <v>0</v>
      </c>
    </row>
    <row r="65" spans="1:14" x14ac:dyDescent="0.25">
      <c r="A65" s="83" t="s">
        <v>671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</row>
    <row r="66" spans="1:14" x14ac:dyDescent="0.25">
      <c r="A66" s="86" t="s">
        <v>651</v>
      </c>
      <c r="B66" s="86" t="s">
        <v>668</v>
      </c>
      <c r="C66" s="86" t="s">
        <v>658</v>
      </c>
      <c r="D66" s="87">
        <f>'[10]Roads Construction 2017-18'!$L$128</f>
        <v>1700000</v>
      </c>
      <c r="E66" s="87">
        <f>D66*(1+Assumptions!C$16)</f>
        <v>1839707.5363715196</v>
      </c>
      <c r="F66" s="87">
        <f>E66*(1+Assumptions!D$16)</f>
        <v>1951833.4370369811</v>
      </c>
      <c r="G66" s="87">
        <f>F66*(1+Assumptions!E$16)</f>
        <v>2070729.0390108004</v>
      </c>
      <c r="H66" s="87">
        <f>G66*(1+Assumptions!F$16)</f>
        <v>2134263.8851528144</v>
      </c>
      <c r="I66" s="87">
        <f>H66*(1+Assumptions!G$16)</f>
        <v>2199679.605844039</v>
      </c>
      <c r="J66" s="87">
        <f>I66*(1+Assumptions!H$16)</f>
        <v>2267030.5037858738</v>
      </c>
      <c r="K66" s="87">
        <f>J66*(1+Assumptions!I$16)</f>
        <v>2336372.4206059752</v>
      </c>
      <c r="L66" s="87">
        <f>K66*(1+Assumptions!J$16)</f>
        <v>2407762.7798512257</v>
      </c>
      <c r="M66" s="87">
        <f>L66*(1+Assumptions!K$16)</f>
        <v>2481260.6311682146</v>
      </c>
      <c r="N66" s="87">
        <f>M66*(1+Assumptions!L$16)</f>
        <v>2556926.6957037249</v>
      </c>
    </row>
    <row r="67" spans="1:14" s="44" customFormat="1" x14ac:dyDescent="0.25">
      <c r="A67" s="86" t="s">
        <v>651</v>
      </c>
      <c r="B67" s="86" t="s">
        <v>668</v>
      </c>
      <c r="C67" s="86" t="s">
        <v>657</v>
      </c>
      <c r="D67" s="87">
        <f>'[10]Roads Construction 2017-18'!$L$129</f>
        <v>50000</v>
      </c>
      <c r="E67" s="87">
        <f>D67*(1+Assumptions!C$16)</f>
        <v>54109.045187397634</v>
      </c>
      <c r="F67" s="87">
        <f>E67*(1+Assumptions!D$16)</f>
        <v>57406.865795205333</v>
      </c>
      <c r="G67" s="87">
        <f>F67*(1+Assumptions!E$16)</f>
        <v>60903.795265023553</v>
      </c>
      <c r="H67" s="87">
        <f>G67*(1+Assumptions!F$16)</f>
        <v>62772.467210376904</v>
      </c>
      <c r="I67" s="87">
        <f>H67*(1+Assumptions!G$16)</f>
        <v>64696.458995412919</v>
      </c>
      <c r="J67" s="87">
        <f>I67*(1+Assumptions!H$16)</f>
        <v>66677.367758408058</v>
      </c>
      <c r="K67" s="87">
        <f>J67*(1+Assumptions!I$16)</f>
        <v>68716.835900175734</v>
      </c>
      <c r="L67" s="87">
        <f>K67*(1+Assumptions!J$16)</f>
        <v>70816.552348565456</v>
      </c>
      <c r="M67" s="87">
        <f>L67*(1+Assumptions!K$16)</f>
        <v>72978.25385788866</v>
      </c>
      <c r="N67" s="87">
        <f>M67*(1+Assumptions!L$16)</f>
        <v>75203.726344227209</v>
      </c>
    </row>
    <row r="68" spans="1:14" x14ac:dyDescent="0.25">
      <c r="A68" s="86" t="s">
        <v>669</v>
      </c>
      <c r="B68" s="86" t="s">
        <v>668</v>
      </c>
      <c r="C68" s="86" t="s">
        <v>657</v>
      </c>
      <c r="D68" s="87">
        <f>'[10]Roads Construction 2017-18'!$H$129</f>
        <v>225000</v>
      </c>
      <c r="E68" s="87">
        <f>D68*(1+Assumptions!C$9)</f>
        <v>230624.99999999997</v>
      </c>
      <c r="F68" s="87">
        <f>E68*(1+Assumptions!D$9)</f>
        <v>236390.62499999994</v>
      </c>
      <c r="G68" s="87">
        <f>F68*(1+Assumptions!E$9)</f>
        <v>242300.39062499991</v>
      </c>
      <c r="H68" s="87">
        <f>G68*(1+Assumptions!F$9)</f>
        <v>248357.90039062488</v>
      </c>
      <c r="I68" s="87">
        <f>H68*(1+Assumptions!G$9)</f>
        <v>254566.84790039048</v>
      </c>
      <c r="J68" s="87">
        <f>I68*(1+Assumptions!H$9)</f>
        <v>260931.01909790022</v>
      </c>
      <c r="K68" s="87">
        <f>J68*(1+Assumptions!I$9)</f>
        <v>267454.29457534768</v>
      </c>
      <c r="L68" s="87">
        <f>K68*(1+Assumptions!J$9)</f>
        <v>274140.65193973132</v>
      </c>
      <c r="M68" s="87">
        <f>L68*(1+Assumptions!K$9)</f>
        <v>280994.16823822458</v>
      </c>
      <c r="N68" s="87">
        <f>M68*(1+Assumptions!L$9)</f>
        <v>288019.02244418015</v>
      </c>
    </row>
    <row r="69" spans="1:14" x14ac:dyDescent="0.25">
      <c r="A69" s="86" t="s">
        <v>649</v>
      </c>
      <c r="B69" s="86" t="s">
        <v>650</v>
      </c>
      <c r="C69" s="86" t="s">
        <v>657</v>
      </c>
      <c r="D69" s="87">
        <f>[3]Sheet1!E115</f>
        <v>0</v>
      </c>
      <c r="E69" s="87">
        <f>[3]Sheet1!F115</f>
        <v>0</v>
      </c>
      <c r="F69" s="87">
        <f>[3]Sheet1!G115</f>
        <v>0</v>
      </c>
      <c r="G69" s="87">
        <f>[3]Sheet1!H115</f>
        <v>300000</v>
      </c>
      <c r="H69" s="87">
        <f>[3]Sheet1!I115</f>
        <v>200000</v>
      </c>
      <c r="I69" s="87">
        <f>[3]Sheet1!J115</f>
        <v>200000</v>
      </c>
      <c r="J69" s="87">
        <f>[3]Sheet1!K115</f>
        <v>200000</v>
      </c>
      <c r="K69" s="87">
        <f>[3]Sheet1!L115+500000</f>
        <v>900000</v>
      </c>
      <c r="L69" s="87">
        <f>[3]Sheet1!M115</f>
        <v>200000</v>
      </c>
      <c r="M69" s="87">
        <f>[3]Sheet1!N115</f>
        <v>200000</v>
      </c>
      <c r="N69" s="87">
        <f>[3]Sheet1!O115+500000</f>
        <v>700000</v>
      </c>
    </row>
    <row r="70" spans="1:14" s="44" customFormat="1" x14ac:dyDescent="0.25">
      <c r="A70" s="86" t="s">
        <v>26</v>
      </c>
      <c r="B70" s="86" t="s">
        <v>638</v>
      </c>
      <c r="C70" s="86" t="s">
        <v>657</v>
      </c>
      <c r="D70" s="87">
        <f>'[8]Parks Program 2017-18'!$I$80</f>
        <v>400000</v>
      </c>
      <c r="E70" s="87"/>
      <c r="F70" s="87"/>
      <c r="G70" s="87"/>
      <c r="H70" s="87"/>
      <c r="I70" s="87"/>
      <c r="J70" s="87"/>
      <c r="K70" s="87"/>
      <c r="L70" s="87"/>
      <c r="M70" s="87"/>
      <c r="N70" s="87"/>
    </row>
    <row r="71" spans="1:14" x14ac:dyDescent="0.25">
      <c r="A71" s="86" t="s">
        <v>651</v>
      </c>
      <c r="B71" s="86" t="s">
        <v>664</v>
      </c>
      <c r="C71" s="86" t="s">
        <v>658</v>
      </c>
      <c r="D71" s="87"/>
      <c r="E71" s="87"/>
      <c r="F71" s="87">
        <v>1000000</v>
      </c>
      <c r="G71" s="87"/>
      <c r="H71" s="87"/>
      <c r="I71" s="87"/>
      <c r="J71" s="87"/>
      <c r="K71" s="87"/>
      <c r="L71" s="87"/>
      <c r="M71" s="87"/>
      <c r="N71" s="87"/>
    </row>
    <row r="72" spans="1:14" x14ac:dyDescent="0.25">
      <c r="A72" s="86" t="s">
        <v>651</v>
      </c>
      <c r="B72" s="86" t="s">
        <v>664</v>
      </c>
      <c r="C72" s="86" t="s">
        <v>657</v>
      </c>
      <c r="D72" s="87">
        <v>1500000</v>
      </c>
      <c r="E72" s="87">
        <v>2000000</v>
      </c>
      <c r="F72" s="87">
        <v>2000000</v>
      </c>
      <c r="G72" s="87">
        <v>1000000</v>
      </c>
      <c r="H72" s="87">
        <v>500000</v>
      </c>
      <c r="I72" s="87">
        <v>500000</v>
      </c>
      <c r="J72" s="87">
        <v>500000</v>
      </c>
      <c r="K72" s="87">
        <v>300000</v>
      </c>
      <c r="L72" s="87">
        <v>300000</v>
      </c>
      <c r="M72" s="87">
        <v>200000</v>
      </c>
      <c r="N72" s="87">
        <v>200000</v>
      </c>
    </row>
    <row r="73" spans="1:14" x14ac:dyDescent="0.25">
      <c r="A73" s="83" t="s">
        <v>672</v>
      </c>
      <c r="B73" s="84"/>
      <c r="C73" s="84"/>
      <c r="D73" s="85">
        <f>SUBTOTAL(9,D66:D72)-D69</f>
        <v>3875000</v>
      </c>
      <c r="E73" s="85">
        <f t="shared" ref="E73:N73" si="44">SUBTOTAL(9,E66:E72)</f>
        <v>4124441.5815589172</v>
      </c>
      <c r="F73" s="85">
        <f t="shared" si="44"/>
        <v>5245630.9278321862</v>
      </c>
      <c r="G73" s="85">
        <f t="shared" si="44"/>
        <v>3673933.224900824</v>
      </c>
      <c r="H73" s="85">
        <f t="shared" si="44"/>
        <v>3145394.2527538165</v>
      </c>
      <c r="I73" s="85">
        <f t="shared" si="44"/>
        <v>3218942.9127398427</v>
      </c>
      <c r="J73" s="85">
        <f t="shared" si="44"/>
        <v>3294638.890642182</v>
      </c>
      <c r="K73" s="85">
        <f t="shared" si="44"/>
        <v>3872543.5510814986</v>
      </c>
      <c r="L73" s="85">
        <f t="shared" si="44"/>
        <v>3252719.9841395225</v>
      </c>
      <c r="M73" s="85">
        <f t="shared" si="44"/>
        <v>3235233.0532643278</v>
      </c>
      <c r="N73" s="85">
        <f t="shared" si="44"/>
        <v>3820149.4444921324</v>
      </c>
    </row>
    <row r="74" spans="1:14" s="44" customFormat="1" x14ac:dyDescent="0.25">
      <c r="A74" s="154" t="s">
        <v>1175</v>
      </c>
      <c r="B74" s="154"/>
      <c r="C74" s="154"/>
      <c r="D74" s="155">
        <f>SUMIF($C$66:$C$72,"New",D$66:D$72)</f>
        <v>1700000</v>
      </c>
      <c r="E74" s="155">
        <f t="shared" ref="E74:N74" si="45">SUMIF($C$66:$C$72,"New",E$66:E$72)</f>
        <v>1839707.5363715196</v>
      </c>
      <c r="F74" s="155">
        <f t="shared" si="45"/>
        <v>2951833.4370369809</v>
      </c>
      <c r="G74" s="155">
        <f t="shared" si="45"/>
        <v>2070729.0390108004</v>
      </c>
      <c r="H74" s="155">
        <f t="shared" si="45"/>
        <v>2134263.8851528144</v>
      </c>
      <c r="I74" s="155">
        <f t="shared" si="45"/>
        <v>2199679.605844039</v>
      </c>
      <c r="J74" s="155">
        <f t="shared" si="45"/>
        <v>2267030.5037858738</v>
      </c>
      <c r="K74" s="155">
        <f t="shared" si="45"/>
        <v>2336372.4206059752</v>
      </c>
      <c r="L74" s="155">
        <f t="shared" si="45"/>
        <v>2407762.7798512257</v>
      </c>
      <c r="M74" s="155">
        <f t="shared" si="45"/>
        <v>2481260.6311682146</v>
      </c>
      <c r="N74" s="155">
        <f t="shared" si="45"/>
        <v>2556926.6957037249</v>
      </c>
    </row>
    <row r="75" spans="1:14" s="44" customFormat="1" x14ac:dyDescent="0.25">
      <c r="A75" s="154" t="s">
        <v>1176</v>
      </c>
      <c r="B75" s="154"/>
      <c r="C75" s="154"/>
      <c r="D75" s="155">
        <f>SUMIF($C$66:$C$72,"Renewal",D$66:D$72)</f>
        <v>2175000</v>
      </c>
      <c r="E75" s="155">
        <f t="shared" ref="E75:N75" si="46">SUMIF($C$66:$C$72,"Renewal",E$66:E$72)</f>
        <v>2284734.0451873979</v>
      </c>
      <c r="F75" s="155">
        <f t="shared" si="46"/>
        <v>2293797.4907952053</v>
      </c>
      <c r="G75" s="155">
        <f t="shared" si="46"/>
        <v>1603204.1858900236</v>
      </c>
      <c r="H75" s="155">
        <f t="shared" si="46"/>
        <v>1011130.3676010019</v>
      </c>
      <c r="I75" s="155">
        <f t="shared" si="46"/>
        <v>1019263.3068958034</v>
      </c>
      <c r="J75" s="155">
        <f t="shared" si="46"/>
        <v>1027608.3868563082</v>
      </c>
      <c r="K75" s="155">
        <f t="shared" si="46"/>
        <v>1536171.1304755234</v>
      </c>
      <c r="L75" s="155">
        <f t="shared" si="46"/>
        <v>844957.20428829675</v>
      </c>
      <c r="M75" s="155">
        <f t="shared" si="46"/>
        <v>753972.42209611321</v>
      </c>
      <c r="N75" s="155">
        <f t="shared" si="46"/>
        <v>1263222.7487884073</v>
      </c>
    </row>
    <row r="76" spans="1:14" x14ac:dyDescent="0.25">
      <c r="D76" s="156">
        <f>D73-SUM(D74:D75)</f>
        <v>0</v>
      </c>
      <c r="E76" s="156">
        <f t="shared" ref="E76" si="47">E73-SUM(E74:E75)</f>
        <v>0</v>
      </c>
      <c r="F76" s="156">
        <f t="shared" ref="F76" si="48">F73-SUM(F74:F75)</f>
        <v>0</v>
      </c>
      <c r="G76" s="156">
        <f t="shared" ref="G76" si="49">G73-SUM(G74:G75)</f>
        <v>0</v>
      </c>
      <c r="H76" s="156">
        <f t="shared" ref="H76" si="50">H73-SUM(H74:H75)</f>
        <v>0</v>
      </c>
      <c r="I76" s="156">
        <f t="shared" ref="I76" si="51">I73-SUM(I74:I75)</f>
        <v>0</v>
      </c>
      <c r="J76" s="156">
        <f t="shared" ref="J76" si="52">J73-SUM(J74:J75)</f>
        <v>0</v>
      </c>
      <c r="K76" s="156">
        <f t="shared" ref="K76" si="53">K73-SUM(K74:K75)</f>
        <v>0</v>
      </c>
      <c r="L76" s="156">
        <f t="shared" ref="L76" si="54">L73-SUM(L74:L75)</f>
        <v>0</v>
      </c>
      <c r="M76" s="156">
        <f t="shared" ref="M76" si="55">M73-SUM(M74:M75)</f>
        <v>0</v>
      </c>
      <c r="N76" s="156">
        <f t="shared" ref="N76" si="56">N73-SUM(N74:N75)</f>
        <v>0</v>
      </c>
    </row>
    <row r="77" spans="1:14" x14ac:dyDescent="0.25">
      <c r="A77" s="83" t="s">
        <v>673</v>
      </c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</row>
    <row r="78" spans="1:14" s="44" customFormat="1" x14ac:dyDescent="0.25">
      <c r="A78" s="86" t="s">
        <v>651</v>
      </c>
      <c r="B78" s="86" t="s">
        <v>674</v>
      </c>
      <c r="C78" s="86" t="s">
        <v>657</v>
      </c>
      <c r="D78" s="87">
        <f>'[11]Drainage Construction 2017-18'!$J$62</f>
        <v>312000</v>
      </c>
      <c r="E78" s="87">
        <f>D78*(1+Assumptions!C$16)</f>
        <v>337640.44196936121</v>
      </c>
      <c r="F78" s="87">
        <f>E78*(1+Assumptions!D$16)</f>
        <v>358218.84256208123</v>
      </c>
      <c r="G78" s="87">
        <f>F78*(1+Assumptions!E$16)</f>
        <v>380039.68245374691</v>
      </c>
      <c r="H78" s="87">
        <f>G78*(1+Assumptions!F$16)</f>
        <v>391700.19539275183</v>
      </c>
      <c r="I78" s="87">
        <f>H78*(1+Assumptions!G$16)</f>
        <v>403705.90413137653</v>
      </c>
      <c r="J78" s="87">
        <f>I78*(1+Assumptions!H$16)</f>
        <v>416066.77481246623</v>
      </c>
      <c r="K78" s="87">
        <f>J78*(1+Assumptions!I$16)</f>
        <v>428793.05601709656</v>
      </c>
      <c r="L78" s="87">
        <f>K78*(1+Assumptions!J$16)</f>
        <v>441895.28665504843</v>
      </c>
      <c r="M78" s="87">
        <f>L78*(1+Assumptions!K$16)</f>
        <v>455384.30407322524</v>
      </c>
      <c r="N78" s="87">
        <f>M78*(1+Assumptions!L$16)</f>
        <v>469271.25238797773</v>
      </c>
    </row>
    <row r="79" spans="1:14" x14ac:dyDescent="0.25">
      <c r="A79" s="86" t="s">
        <v>675</v>
      </c>
      <c r="B79" s="86" t="s">
        <v>674</v>
      </c>
      <c r="C79" s="86" t="s">
        <v>657</v>
      </c>
      <c r="D79" s="87">
        <f>'[11]Drainage Construction 2017-18'!$G$62</f>
        <v>913000</v>
      </c>
      <c r="E79" s="87">
        <f>D79*(1+Assumptions!C$16)</f>
        <v>988031.16512188071</v>
      </c>
      <c r="F79" s="87">
        <f>E79*(1+Assumptions!D$16)</f>
        <v>1048249.3694204492</v>
      </c>
      <c r="G79" s="87">
        <f>F79*(1+Assumptions!E$16)</f>
        <v>1112103.3015393298</v>
      </c>
      <c r="H79" s="87">
        <f>G79*(1+Assumptions!F$16)</f>
        <v>1146225.251261482</v>
      </c>
      <c r="I79" s="87">
        <f>H79*(1+Assumptions!G$16)</f>
        <v>1181357.3412562397</v>
      </c>
      <c r="J79" s="87">
        <f>I79*(1+Assumptions!H$16)</f>
        <v>1217528.7352685309</v>
      </c>
      <c r="K79" s="87">
        <f>J79*(1+Assumptions!I$16)</f>
        <v>1254769.4235372087</v>
      </c>
      <c r="L79" s="87">
        <f>K79*(1+Assumptions!J$16)</f>
        <v>1293110.245884805</v>
      </c>
      <c r="M79" s="87">
        <f>L79*(1+Assumptions!K$16)</f>
        <v>1332582.9154450467</v>
      </c>
      <c r="N79" s="87">
        <f>M79*(1+Assumptions!L$16)</f>
        <v>1373220.0430455885</v>
      </c>
    </row>
    <row r="80" spans="1:14" x14ac:dyDescent="0.25">
      <c r="A80" s="86" t="s">
        <v>649</v>
      </c>
      <c r="B80" s="86" t="s">
        <v>650</v>
      </c>
      <c r="C80" s="86" t="s">
        <v>658</v>
      </c>
      <c r="D80" s="87">
        <f>[3]Sheet1!E118</f>
        <v>0</v>
      </c>
      <c r="E80" s="87">
        <f>[3]Sheet1!F118</f>
        <v>0</v>
      </c>
      <c r="F80" s="87">
        <f>[3]Sheet1!G118</f>
        <v>0</v>
      </c>
      <c r="G80" s="87">
        <f>[3]Sheet1!H118</f>
        <v>0</v>
      </c>
      <c r="H80" s="87">
        <f>[3]Sheet1!I118</f>
        <v>200000</v>
      </c>
      <c r="I80" s="87">
        <f>[3]Sheet1!J118</f>
        <v>100000</v>
      </c>
      <c r="J80" s="87">
        <f>[3]Sheet1!K118</f>
        <v>300000</v>
      </c>
      <c r="K80" s="87">
        <f>[3]Sheet1!L118+500000</f>
        <v>800000</v>
      </c>
      <c r="L80" s="87">
        <f>[3]Sheet1!M118+500000</f>
        <v>700000</v>
      </c>
      <c r="M80" s="87">
        <f>[3]Sheet1!N118</f>
        <v>100000</v>
      </c>
      <c r="N80" s="87">
        <f>[3]Sheet1!O118+500000</f>
        <v>800000</v>
      </c>
    </row>
    <row r="81" spans="1:15" x14ac:dyDescent="0.25">
      <c r="A81" s="86" t="s">
        <v>26</v>
      </c>
      <c r="B81" s="86" t="s">
        <v>638</v>
      </c>
      <c r="C81" s="86" t="s">
        <v>658</v>
      </c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</row>
    <row r="82" spans="1:15" x14ac:dyDescent="0.25">
      <c r="A82" s="86" t="s">
        <v>651</v>
      </c>
      <c r="B82" s="86" t="s">
        <v>664</v>
      </c>
      <c r="C82" s="86" t="s">
        <v>658</v>
      </c>
      <c r="D82" s="87"/>
      <c r="E82" s="87"/>
      <c r="F82" s="87"/>
      <c r="G82" s="87">
        <v>200000</v>
      </c>
      <c r="H82" s="87">
        <v>200000</v>
      </c>
      <c r="I82" s="87">
        <v>200000</v>
      </c>
      <c r="J82" s="87">
        <v>200000</v>
      </c>
      <c r="K82" s="87"/>
      <c r="L82" s="87"/>
      <c r="M82" s="87"/>
      <c r="N82" s="87"/>
    </row>
    <row r="83" spans="1:15" x14ac:dyDescent="0.25">
      <c r="A83" s="86" t="s">
        <v>651</v>
      </c>
      <c r="B83" s="86" t="s">
        <v>664</v>
      </c>
      <c r="C83" s="86" t="s">
        <v>657</v>
      </c>
      <c r="D83" s="87">
        <v>1000000</v>
      </c>
      <c r="E83" s="87">
        <v>1000000</v>
      </c>
      <c r="F83" s="87">
        <v>1000000</v>
      </c>
      <c r="G83" s="87">
        <v>1000000</v>
      </c>
      <c r="H83" s="87">
        <v>1000000</v>
      </c>
      <c r="I83" s="87">
        <v>1000000</v>
      </c>
      <c r="J83" s="87"/>
      <c r="K83" s="87"/>
      <c r="L83" s="87"/>
      <c r="M83" s="87"/>
      <c r="N83" s="87"/>
      <c r="O83" s="27" t="s">
        <v>660</v>
      </c>
    </row>
    <row r="84" spans="1:15" x14ac:dyDescent="0.25">
      <c r="A84" s="83" t="s">
        <v>676</v>
      </c>
      <c r="B84" s="84"/>
      <c r="C84" s="84"/>
      <c r="D84" s="85">
        <f>SUBTOTAL(9,D78:D83)</f>
        <v>2225000</v>
      </c>
      <c r="E84" s="85">
        <f t="shared" ref="E84:N84" si="57">SUBTOTAL(9,E78:E83)</f>
        <v>2325671.607091242</v>
      </c>
      <c r="F84" s="85">
        <f t="shared" si="57"/>
        <v>2406468.2119825305</v>
      </c>
      <c r="G84" s="85">
        <f t="shared" si="57"/>
        <v>2692142.9839930767</v>
      </c>
      <c r="H84" s="85">
        <f t="shared" si="57"/>
        <v>2937925.4466542341</v>
      </c>
      <c r="I84" s="85">
        <f t="shared" si="57"/>
        <v>2885063.2453876161</v>
      </c>
      <c r="J84" s="85">
        <f t="shared" si="57"/>
        <v>2133595.5100809969</v>
      </c>
      <c r="K84" s="85">
        <f t="shared" si="57"/>
        <v>2483562.4795543053</v>
      </c>
      <c r="L84" s="85">
        <f t="shared" si="57"/>
        <v>2435005.5325398534</v>
      </c>
      <c r="M84" s="85">
        <f t="shared" si="57"/>
        <v>1887967.219518272</v>
      </c>
      <c r="N84" s="85">
        <f t="shared" si="57"/>
        <v>2642491.295433566</v>
      </c>
    </row>
    <row r="85" spans="1:15" s="44" customFormat="1" x14ac:dyDescent="0.25">
      <c r="A85" s="154" t="s">
        <v>1173</v>
      </c>
      <c r="B85" s="154"/>
      <c r="C85" s="154"/>
      <c r="D85" s="155">
        <f>SUMIF($C$78:$C$83,"New",D$78:D$83)</f>
        <v>0</v>
      </c>
      <c r="E85" s="155">
        <f t="shared" ref="E85:N85" si="58">SUMIF($C$78:$C$83,"New",E$78:E$83)</f>
        <v>0</v>
      </c>
      <c r="F85" s="155">
        <f t="shared" si="58"/>
        <v>0</v>
      </c>
      <c r="G85" s="155">
        <f t="shared" si="58"/>
        <v>200000</v>
      </c>
      <c r="H85" s="155">
        <f t="shared" si="58"/>
        <v>400000</v>
      </c>
      <c r="I85" s="155">
        <f t="shared" si="58"/>
        <v>300000</v>
      </c>
      <c r="J85" s="155">
        <f t="shared" si="58"/>
        <v>500000</v>
      </c>
      <c r="K85" s="155">
        <f t="shared" si="58"/>
        <v>800000</v>
      </c>
      <c r="L85" s="155">
        <f t="shared" si="58"/>
        <v>700000</v>
      </c>
      <c r="M85" s="155">
        <f t="shared" si="58"/>
        <v>100000</v>
      </c>
      <c r="N85" s="155">
        <f t="shared" si="58"/>
        <v>800000</v>
      </c>
    </row>
    <row r="86" spans="1:15" s="44" customFormat="1" x14ac:dyDescent="0.25">
      <c r="A86" s="154" t="s">
        <v>1174</v>
      </c>
      <c r="B86" s="154"/>
      <c r="C86" s="154"/>
      <c r="D86" s="155">
        <f>SUMIF($C$78:$C$83,"Renewal",D$78:D$83)</f>
        <v>2225000</v>
      </c>
      <c r="E86" s="155">
        <f t="shared" ref="E86:N86" si="59">SUMIF($C$78:$C$83,"Renewal",E$78:E$83)</f>
        <v>2325671.607091242</v>
      </c>
      <c r="F86" s="155">
        <f t="shared" si="59"/>
        <v>2406468.2119825305</v>
      </c>
      <c r="G86" s="155">
        <f t="shared" si="59"/>
        <v>2492142.9839930767</v>
      </c>
      <c r="H86" s="155">
        <f t="shared" si="59"/>
        <v>2537925.4466542341</v>
      </c>
      <c r="I86" s="155">
        <f t="shared" si="59"/>
        <v>2585063.2453876161</v>
      </c>
      <c r="J86" s="155">
        <f t="shared" si="59"/>
        <v>1633595.5100809971</v>
      </c>
      <c r="K86" s="155">
        <f t="shared" si="59"/>
        <v>1683562.4795543053</v>
      </c>
      <c r="L86" s="155">
        <f t="shared" si="59"/>
        <v>1735005.5325398534</v>
      </c>
      <c r="M86" s="155">
        <f t="shared" si="59"/>
        <v>1787967.219518272</v>
      </c>
      <c r="N86" s="155">
        <f t="shared" si="59"/>
        <v>1842491.2954335662</v>
      </c>
    </row>
    <row r="87" spans="1:15" x14ac:dyDescent="0.25">
      <c r="D87" s="156">
        <f>D84-SUM(D85:D86)</f>
        <v>0</v>
      </c>
      <c r="E87" s="156">
        <f t="shared" ref="E87" si="60">E84-SUM(E85:E86)</f>
        <v>0</v>
      </c>
      <c r="F87" s="156">
        <f t="shared" ref="F87" si="61">F84-SUM(F85:F86)</f>
        <v>0</v>
      </c>
      <c r="G87" s="156">
        <f t="shared" ref="G87" si="62">G84-SUM(G85:G86)</f>
        <v>0</v>
      </c>
      <c r="H87" s="156">
        <f t="shared" ref="H87" si="63">H84-SUM(H85:H86)</f>
        <v>0</v>
      </c>
      <c r="I87" s="156">
        <f t="shared" ref="I87" si="64">I84-SUM(I85:I86)</f>
        <v>0</v>
      </c>
      <c r="J87" s="156">
        <f t="shared" ref="J87" si="65">J84-SUM(J85:J86)</f>
        <v>0</v>
      </c>
      <c r="K87" s="156">
        <f t="shared" ref="K87" si="66">K84-SUM(K85:K86)</f>
        <v>0</v>
      </c>
      <c r="L87" s="156">
        <f t="shared" ref="L87" si="67">L84-SUM(L85:L86)</f>
        <v>0</v>
      </c>
      <c r="M87" s="156">
        <f t="shared" ref="M87" si="68">M84-SUM(M85:M86)</f>
        <v>0</v>
      </c>
      <c r="N87" s="156">
        <f t="shared" ref="N87" si="69">N84-SUM(N85:N86)</f>
        <v>0</v>
      </c>
    </row>
    <row r="88" spans="1:15" x14ac:dyDescent="0.25">
      <c r="A88" s="83" t="s">
        <v>677</v>
      </c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</row>
    <row r="89" spans="1:15" x14ac:dyDescent="0.25">
      <c r="A89" s="86" t="s">
        <v>651</v>
      </c>
      <c r="B89" s="86" t="s">
        <v>664</v>
      </c>
      <c r="C89" s="86" t="s">
        <v>658</v>
      </c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</row>
    <row r="90" spans="1:15" s="44" customFormat="1" x14ac:dyDescent="0.25">
      <c r="A90" s="86" t="s">
        <v>651</v>
      </c>
      <c r="B90" s="86" t="s">
        <v>664</v>
      </c>
      <c r="C90" s="86" t="s">
        <v>657</v>
      </c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</row>
    <row r="91" spans="1:15" x14ac:dyDescent="0.25">
      <c r="A91" s="83" t="s">
        <v>678</v>
      </c>
      <c r="B91" s="84"/>
      <c r="C91" s="84"/>
      <c r="D91" s="85">
        <f>SUBTOTAL(9,D89:D90)</f>
        <v>0</v>
      </c>
      <c r="E91" s="85">
        <f t="shared" ref="E91:N91" si="70">SUBTOTAL(9,E89:E90)</f>
        <v>0</v>
      </c>
      <c r="F91" s="85">
        <f t="shared" si="70"/>
        <v>0</v>
      </c>
      <c r="G91" s="85">
        <f t="shared" si="70"/>
        <v>0</v>
      </c>
      <c r="H91" s="85">
        <f t="shared" si="70"/>
        <v>0</v>
      </c>
      <c r="I91" s="85">
        <f t="shared" si="70"/>
        <v>0</v>
      </c>
      <c r="J91" s="85">
        <f t="shared" si="70"/>
        <v>0</v>
      </c>
      <c r="K91" s="85">
        <f t="shared" si="70"/>
        <v>0</v>
      </c>
      <c r="L91" s="85">
        <f t="shared" si="70"/>
        <v>0</v>
      </c>
      <c r="M91" s="85">
        <f t="shared" si="70"/>
        <v>0</v>
      </c>
      <c r="N91" s="85">
        <f t="shared" si="70"/>
        <v>0</v>
      </c>
    </row>
    <row r="92" spans="1:15" s="44" customFormat="1" x14ac:dyDescent="0.25">
      <c r="A92" s="154" t="s">
        <v>1179</v>
      </c>
      <c r="B92" s="154"/>
      <c r="C92" s="154"/>
      <c r="D92" s="155">
        <f>SUMIF($C$89:$C$90,"New",D$89:D$90)</f>
        <v>0</v>
      </c>
      <c r="E92" s="155">
        <f t="shared" ref="E92:N92" si="71">SUMIF($C$89:$C$90,"New",E$89:E$90)</f>
        <v>0</v>
      </c>
      <c r="F92" s="155">
        <f t="shared" si="71"/>
        <v>0</v>
      </c>
      <c r="G92" s="155">
        <f t="shared" si="71"/>
        <v>0</v>
      </c>
      <c r="H92" s="155">
        <f t="shared" si="71"/>
        <v>0</v>
      </c>
      <c r="I92" s="155">
        <f t="shared" si="71"/>
        <v>0</v>
      </c>
      <c r="J92" s="155">
        <f t="shared" si="71"/>
        <v>0</v>
      </c>
      <c r="K92" s="155">
        <f t="shared" si="71"/>
        <v>0</v>
      </c>
      <c r="L92" s="155">
        <f t="shared" si="71"/>
        <v>0</v>
      </c>
      <c r="M92" s="155">
        <f t="shared" si="71"/>
        <v>0</v>
      </c>
      <c r="N92" s="155">
        <f t="shared" si="71"/>
        <v>0</v>
      </c>
    </row>
    <row r="93" spans="1:15" s="44" customFormat="1" x14ac:dyDescent="0.25">
      <c r="A93" s="154" t="s">
        <v>1180</v>
      </c>
      <c r="B93" s="154"/>
      <c r="C93" s="154"/>
      <c r="D93" s="155">
        <f>SUMIF($C$89:$C$90,"Renewal",D$89:D$90)</f>
        <v>0</v>
      </c>
      <c r="E93" s="155">
        <f t="shared" ref="E93:N93" si="72">SUMIF($C$89:$C$90,"Renewal",E$89:E$90)</f>
        <v>0</v>
      </c>
      <c r="F93" s="155">
        <f t="shared" si="72"/>
        <v>0</v>
      </c>
      <c r="G93" s="155">
        <f t="shared" si="72"/>
        <v>0</v>
      </c>
      <c r="H93" s="155">
        <f t="shared" si="72"/>
        <v>0</v>
      </c>
      <c r="I93" s="155">
        <f t="shared" si="72"/>
        <v>0</v>
      </c>
      <c r="J93" s="155">
        <f t="shared" si="72"/>
        <v>0</v>
      </c>
      <c r="K93" s="155">
        <f t="shared" si="72"/>
        <v>0</v>
      </c>
      <c r="L93" s="155">
        <f t="shared" si="72"/>
        <v>0</v>
      </c>
      <c r="M93" s="155">
        <f t="shared" si="72"/>
        <v>0</v>
      </c>
      <c r="N93" s="155">
        <f t="shared" si="72"/>
        <v>0</v>
      </c>
    </row>
    <row r="94" spans="1:15" x14ac:dyDescent="0.25">
      <c r="D94" s="156">
        <f>D91-SUM(D92:D93)</f>
        <v>0</v>
      </c>
      <c r="E94" s="156">
        <f t="shared" ref="E94" si="73">E91-SUM(E92:E93)</f>
        <v>0</v>
      </c>
      <c r="F94" s="156">
        <f t="shared" ref="F94" si="74">F91-SUM(F92:F93)</f>
        <v>0</v>
      </c>
      <c r="G94" s="156">
        <f t="shared" ref="G94" si="75">G91-SUM(G92:G93)</f>
        <v>0</v>
      </c>
      <c r="H94" s="156">
        <f t="shared" ref="H94" si="76">H91-SUM(H92:H93)</f>
        <v>0</v>
      </c>
      <c r="I94" s="156">
        <f t="shared" ref="I94" si="77">I91-SUM(I92:I93)</f>
        <v>0</v>
      </c>
      <c r="J94" s="156">
        <f t="shared" ref="J94" si="78">J91-SUM(J92:J93)</f>
        <v>0</v>
      </c>
      <c r="K94" s="156">
        <f t="shared" ref="K94" si="79">K91-SUM(K92:K93)</f>
        <v>0</v>
      </c>
      <c r="L94" s="156">
        <f t="shared" ref="L94" si="80">L91-SUM(L92:L93)</f>
        <v>0</v>
      </c>
      <c r="M94" s="156">
        <f t="shared" ref="M94" si="81">M91-SUM(M92:M93)</f>
        <v>0</v>
      </c>
      <c r="N94" s="156">
        <f t="shared" ref="N94" si="82">N91-SUM(N92:N93)</f>
        <v>0</v>
      </c>
    </row>
    <row r="95" spans="1:15" x14ac:dyDescent="0.25">
      <c r="A95" s="83" t="s">
        <v>679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</row>
    <row r="96" spans="1:15" x14ac:dyDescent="0.25">
      <c r="A96" s="86" t="s">
        <v>651</v>
      </c>
      <c r="B96" s="86" t="s">
        <v>656</v>
      </c>
      <c r="C96" s="86" t="s">
        <v>658</v>
      </c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</row>
    <row r="97" spans="1:15" s="44" customFormat="1" x14ac:dyDescent="0.25">
      <c r="A97" s="86" t="s">
        <v>651</v>
      </c>
      <c r="B97" s="86" t="s">
        <v>656</v>
      </c>
      <c r="C97" s="86" t="s">
        <v>657</v>
      </c>
      <c r="D97" s="87">
        <f>'[8]Parks Program 2017-18'!$K$82</f>
        <v>2902000</v>
      </c>
      <c r="E97" s="87">
        <f>D97*(1+Assumptions!C$16)</f>
        <v>3140488.9826765587</v>
      </c>
      <c r="F97" s="87">
        <f>E97*(1+Assumptions!D$16)</f>
        <v>3331894.4907537173</v>
      </c>
      <c r="G97" s="87">
        <f>F97*(1+Assumptions!E$16)+1000000</f>
        <v>4534856.2771819662</v>
      </c>
      <c r="H97" s="87">
        <f>G97*(1+Assumptions!F$16)</f>
        <v>4673996.353174014</v>
      </c>
      <c r="I97" s="87">
        <f>H97*(1+Assumptions!G$16)</f>
        <v>4817255.5078071542</v>
      </c>
      <c r="J97" s="87">
        <f>I97*(1+Assumptions!H$16)</f>
        <v>4964752.6629401483</v>
      </c>
      <c r="K97" s="87">
        <f>J97*(1+Assumptions!I$16)</f>
        <v>5116610.1106502954</v>
      </c>
      <c r="L97" s="87">
        <f>K97*(1+Assumptions!J$16)</f>
        <v>5272953.6073872</v>
      </c>
      <c r="M97" s="87">
        <f>L97*(1+Assumptions!K$16)</f>
        <v>5433912.4707271643</v>
      </c>
      <c r="N97" s="87">
        <f>M97*(1+Assumptions!L$16)</f>
        <v>5599619.6787993675</v>
      </c>
    </row>
    <row r="98" spans="1:15" x14ac:dyDescent="0.25">
      <c r="A98" s="86" t="s">
        <v>651</v>
      </c>
      <c r="B98" s="86" t="s">
        <v>1194</v>
      </c>
      <c r="C98" s="86" t="s">
        <v>657</v>
      </c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</row>
    <row r="99" spans="1:15" x14ac:dyDescent="0.25">
      <c r="A99" s="86" t="s">
        <v>649</v>
      </c>
      <c r="B99" s="86" t="s">
        <v>650</v>
      </c>
      <c r="C99" s="86" t="s">
        <v>658</v>
      </c>
      <c r="D99" s="87"/>
      <c r="E99" s="87">
        <f>[3]Sheet1!F117</f>
        <v>400000</v>
      </c>
      <c r="F99" s="87">
        <f>[3]Sheet1!G117</f>
        <v>0</v>
      </c>
      <c r="G99" s="87">
        <f>[3]Sheet1!H117</f>
        <v>300000</v>
      </c>
      <c r="H99" s="87">
        <f>[3]Sheet1!I117</f>
        <v>300000</v>
      </c>
      <c r="I99" s="87">
        <f>[3]Sheet1!J117</f>
        <v>300000</v>
      </c>
      <c r="J99" s="87">
        <f>[3]Sheet1!K117</f>
        <v>300000</v>
      </c>
      <c r="K99" s="87">
        <f>[3]Sheet1!L117+500000</f>
        <v>800000</v>
      </c>
      <c r="L99" s="87">
        <f>[3]Sheet1!M117+500000</f>
        <v>800000</v>
      </c>
      <c r="M99" s="87">
        <f>[3]Sheet1!N117</f>
        <v>300000</v>
      </c>
      <c r="N99" s="87">
        <f>[3]Sheet1!O117+500000</f>
        <v>800000</v>
      </c>
    </row>
    <row r="100" spans="1:15" x14ac:dyDescent="0.25">
      <c r="A100" s="86" t="s">
        <v>26</v>
      </c>
      <c r="B100" s="86" t="s">
        <v>638</v>
      </c>
      <c r="C100" s="86" t="s">
        <v>658</v>
      </c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</row>
    <row r="101" spans="1:15" x14ac:dyDescent="0.25">
      <c r="A101" s="86" t="s">
        <v>26</v>
      </c>
      <c r="B101" s="86" t="s">
        <v>638</v>
      </c>
      <c r="C101" s="86" t="s">
        <v>657</v>
      </c>
      <c r="D101" s="87">
        <f>'[8]Parks Program 2017-18'!$G$82</f>
        <v>1000000</v>
      </c>
      <c r="E101" s="87">
        <f>D101</f>
        <v>1000000</v>
      </c>
      <c r="F101" s="87"/>
      <c r="G101" s="87"/>
      <c r="H101" s="87"/>
      <c r="I101" s="87"/>
      <c r="J101" s="87"/>
      <c r="K101" s="87"/>
      <c r="L101" s="87"/>
      <c r="M101" s="87"/>
      <c r="N101" s="87"/>
    </row>
    <row r="102" spans="1:15" x14ac:dyDescent="0.25">
      <c r="A102" s="86" t="s">
        <v>636</v>
      </c>
      <c r="B102" s="86" t="s">
        <v>680</v>
      </c>
      <c r="C102" s="86" t="s">
        <v>657</v>
      </c>
      <c r="D102" s="87">
        <f>'[8]Parks Program 2017-18'!$H$82</f>
        <v>1000000</v>
      </c>
      <c r="E102" s="87">
        <f>D102*(1+Assumptions!C$16)</f>
        <v>1082180.9037479525</v>
      </c>
      <c r="F102" s="87">
        <f>E102*(1+Assumptions!D$16)</f>
        <v>1148137.3159041065</v>
      </c>
      <c r="G102" s="87">
        <f>F102*(1+Assumptions!E$16)</f>
        <v>1218075.9053004708</v>
      </c>
      <c r="H102" s="87">
        <f>G102*(1+Assumptions!F$16)</f>
        <v>1255449.3442075378</v>
      </c>
      <c r="I102" s="87">
        <f>H102*(1+Assumptions!G$16)</f>
        <v>1293929.1799082581</v>
      </c>
      <c r="J102" s="87">
        <f>I102*(1+Assumptions!H$16)</f>
        <v>1333547.355168161</v>
      </c>
      <c r="K102" s="87">
        <f>J102*(1+Assumptions!I$16)</f>
        <v>1374336.7180035147</v>
      </c>
      <c r="L102" s="87">
        <f>K102*(1+Assumptions!J$16)</f>
        <v>1416331.046971309</v>
      </c>
      <c r="M102" s="87">
        <f>L102*(1+Assumptions!K$16)</f>
        <v>1459565.0771577731</v>
      </c>
      <c r="N102" s="87">
        <f>M102*(1+Assumptions!L$16)</f>
        <v>1504074.5268845439</v>
      </c>
    </row>
    <row r="103" spans="1:15" x14ac:dyDescent="0.25">
      <c r="A103" s="86" t="s">
        <v>651</v>
      </c>
      <c r="B103" s="86" t="s">
        <v>664</v>
      </c>
      <c r="C103" s="86" t="s">
        <v>657</v>
      </c>
      <c r="D103" s="87"/>
      <c r="E103" s="87"/>
      <c r="F103" s="87">
        <v>1000000</v>
      </c>
      <c r="G103" s="87">
        <v>1000000</v>
      </c>
      <c r="H103" s="87">
        <v>1000000</v>
      </c>
      <c r="I103" s="87">
        <v>1000000</v>
      </c>
      <c r="J103" s="87"/>
      <c r="K103" s="87"/>
      <c r="L103" s="87"/>
      <c r="M103" s="87"/>
      <c r="N103" s="87">
        <v>0</v>
      </c>
      <c r="O103" s="27" t="s">
        <v>660</v>
      </c>
    </row>
    <row r="104" spans="1:15" x14ac:dyDescent="0.25">
      <c r="A104" s="83" t="s">
        <v>681</v>
      </c>
      <c r="B104" s="84"/>
      <c r="C104" s="84"/>
      <c r="D104" s="85">
        <f t="shared" ref="D104:N104" si="83">SUBTOTAL(9,D96:D103)</f>
        <v>4902000</v>
      </c>
      <c r="E104" s="85">
        <f t="shared" si="83"/>
        <v>5622669.8864245107</v>
      </c>
      <c r="F104" s="85">
        <f t="shared" si="83"/>
        <v>5480031.8066578237</v>
      </c>
      <c r="G104" s="85">
        <f t="shared" si="83"/>
        <v>7052932.1824824372</v>
      </c>
      <c r="H104" s="85">
        <f t="shared" si="83"/>
        <v>7229445.6973815523</v>
      </c>
      <c r="I104" s="85">
        <f t="shared" si="83"/>
        <v>7411184.6877154121</v>
      </c>
      <c r="J104" s="85">
        <f t="shared" si="83"/>
        <v>6598300.0181083092</v>
      </c>
      <c r="K104" s="85">
        <f t="shared" si="83"/>
        <v>7290946.8286538105</v>
      </c>
      <c r="L104" s="85">
        <f t="shared" si="83"/>
        <v>7489284.654358509</v>
      </c>
      <c r="M104" s="85">
        <f t="shared" si="83"/>
        <v>7193477.5478849374</v>
      </c>
      <c r="N104" s="85">
        <f t="shared" si="83"/>
        <v>7903694.2056839112</v>
      </c>
    </row>
    <row r="105" spans="1:15" s="44" customFormat="1" x14ac:dyDescent="0.25">
      <c r="A105" s="154" t="s">
        <v>1181</v>
      </c>
      <c r="B105" s="154"/>
      <c r="C105" s="154"/>
      <c r="D105" s="155">
        <f>SUMIF($C$96:$C$103,"New",D$96:D$103)</f>
        <v>0</v>
      </c>
      <c r="E105" s="155">
        <f t="shared" ref="E105:N105" si="84">SUMIF($C$96:$C$103,"New",E$96:E$103)</f>
        <v>400000</v>
      </c>
      <c r="F105" s="155">
        <f t="shared" si="84"/>
        <v>0</v>
      </c>
      <c r="G105" s="155">
        <f t="shared" si="84"/>
        <v>300000</v>
      </c>
      <c r="H105" s="155">
        <f t="shared" si="84"/>
        <v>300000</v>
      </c>
      <c r="I105" s="155">
        <f t="shared" si="84"/>
        <v>300000</v>
      </c>
      <c r="J105" s="155">
        <f t="shared" si="84"/>
        <v>300000</v>
      </c>
      <c r="K105" s="155">
        <f t="shared" si="84"/>
        <v>800000</v>
      </c>
      <c r="L105" s="155">
        <f t="shared" si="84"/>
        <v>800000</v>
      </c>
      <c r="M105" s="155">
        <f t="shared" si="84"/>
        <v>300000</v>
      </c>
      <c r="N105" s="155">
        <f t="shared" si="84"/>
        <v>800000</v>
      </c>
    </row>
    <row r="106" spans="1:15" s="44" customFormat="1" x14ac:dyDescent="0.25">
      <c r="A106" s="154" t="s">
        <v>1182</v>
      </c>
      <c r="B106" s="154"/>
      <c r="C106" s="154"/>
      <c r="D106" s="155">
        <f>SUMIF($C$96:$C$103,"Renewal",D$96:D$103)</f>
        <v>4902000</v>
      </c>
      <c r="E106" s="155">
        <f t="shared" ref="E106:N106" si="85">SUMIF($C$96:$C$103,"Renewal",E$96:E$103)</f>
        <v>5222669.8864245117</v>
      </c>
      <c r="F106" s="155">
        <f t="shared" si="85"/>
        <v>5480031.8066578237</v>
      </c>
      <c r="G106" s="155">
        <f t="shared" si="85"/>
        <v>6752932.1824824372</v>
      </c>
      <c r="H106" s="155">
        <f t="shared" si="85"/>
        <v>6929445.6973815523</v>
      </c>
      <c r="I106" s="155">
        <f t="shared" si="85"/>
        <v>7111184.6877154121</v>
      </c>
      <c r="J106" s="155">
        <f t="shared" si="85"/>
        <v>6298300.0181083092</v>
      </c>
      <c r="K106" s="155">
        <f t="shared" si="85"/>
        <v>6490946.8286538105</v>
      </c>
      <c r="L106" s="155">
        <f t="shared" si="85"/>
        <v>6689284.654358509</v>
      </c>
      <c r="M106" s="155">
        <f t="shared" si="85"/>
        <v>6893477.5478849374</v>
      </c>
      <c r="N106" s="155">
        <f t="shared" si="85"/>
        <v>7103694.2056839112</v>
      </c>
    </row>
    <row r="107" spans="1:15" x14ac:dyDescent="0.25">
      <c r="D107" s="156">
        <f>D104-SUM(D105:D106)</f>
        <v>0</v>
      </c>
      <c r="E107" s="156">
        <f t="shared" ref="E107" si="86">E104-SUM(E105:E106)</f>
        <v>0</v>
      </c>
      <c r="F107" s="156">
        <f t="shared" ref="F107" si="87">F104-SUM(F105:F106)</f>
        <v>0</v>
      </c>
      <c r="G107" s="156">
        <f t="shared" ref="G107" si="88">G104-SUM(G105:G106)</f>
        <v>0</v>
      </c>
      <c r="H107" s="156">
        <f t="shared" ref="H107" si="89">H104-SUM(H105:H106)</f>
        <v>0</v>
      </c>
      <c r="I107" s="156">
        <f t="shared" ref="I107" si="90">I104-SUM(I105:I106)</f>
        <v>0</v>
      </c>
      <c r="J107" s="156">
        <f t="shared" ref="J107" si="91">J104-SUM(J105:J106)</f>
        <v>0</v>
      </c>
      <c r="K107" s="156">
        <f t="shared" ref="K107" si="92">K104-SUM(K105:K106)</f>
        <v>0</v>
      </c>
      <c r="L107" s="156">
        <f t="shared" ref="L107" si="93">L104-SUM(L105:L106)</f>
        <v>0</v>
      </c>
      <c r="M107" s="156">
        <f t="shared" ref="M107" si="94">M104-SUM(M105:M106)</f>
        <v>0</v>
      </c>
      <c r="N107" s="156">
        <f t="shared" ref="N107" si="95">N104-SUM(N105:N106)</f>
        <v>0</v>
      </c>
    </row>
    <row r="108" spans="1:15" x14ac:dyDescent="0.25">
      <c r="A108" s="83" t="s">
        <v>682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</row>
    <row r="109" spans="1:15" x14ac:dyDescent="0.25">
      <c r="A109" s="86" t="s">
        <v>649</v>
      </c>
      <c r="B109" s="86" t="s">
        <v>650</v>
      </c>
      <c r="C109" s="86"/>
      <c r="D109" s="87">
        <f>[3]Sheet1!E119</f>
        <v>0</v>
      </c>
      <c r="E109" s="87">
        <f>[3]Sheet1!F119</f>
        <v>50000</v>
      </c>
      <c r="F109" s="87">
        <f>[3]Sheet1!G119</f>
        <v>0</v>
      </c>
      <c r="G109" s="87">
        <f>[3]Sheet1!H119</f>
        <v>50000</v>
      </c>
      <c r="H109" s="87">
        <f>[3]Sheet1!I119</f>
        <v>0</v>
      </c>
      <c r="I109" s="87">
        <f>[3]Sheet1!J119</f>
        <v>100000</v>
      </c>
      <c r="J109" s="87">
        <f>[3]Sheet1!K119</f>
        <v>0</v>
      </c>
      <c r="K109" s="87">
        <f>[3]Sheet1!L119</f>
        <v>50000</v>
      </c>
      <c r="L109" s="87">
        <f>[3]Sheet1!M119</f>
        <v>0</v>
      </c>
      <c r="M109" s="87">
        <f>[3]Sheet1!N119</f>
        <v>100000</v>
      </c>
      <c r="N109" s="87">
        <f>[3]Sheet1!O119</f>
        <v>0</v>
      </c>
    </row>
    <row r="110" spans="1:15" x14ac:dyDescent="0.25">
      <c r="A110" s="83" t="s">
        <v>683</v>
      </c>
      <c r="B110" s="84"/>
      <c r="C110" s="84"/>
      <c r="D110" s="85">
        <f t="shared" ref="D110:N110" si="96">SUBTOTAL(9,D109:D109)</f>
        <v>0</v>
      </c>
      <c r="E110" s="85">
        <f t="shared" si="96"/>
        <v>50000</v>
      </c>
      <c r="F110" s="85">
        <f t="shared" si="96"/>
        <v>0</v>
      </c>
      <c r="G110" s="85">
        <f t="shared" si="96"/>
        <v>50000</v>
      </c>
      <c r="H110" s="85">
        <f t="shared" si="96"/>
        <v>0</v>
      </c>
      <c r="I110" s="85">
        <f t="shared" si="96"/>
        <v>100000</v>
      </c>
      <c r="J110" s="85">
        <f t="shared" si="96"/>
        <v>0</v>
      </c>
      <c r="K110" s="85">
        <f t="shared" si="96"/>
        <v>50000</v>
      </c>
      <c r="L110" s="85">
        <f t="shared" si="96"/>
        <v>0</v>
      </c>
      <c r="M110" s="85">
        <f t="shared" si="96"/>
        <v>100000</v>
      </c>
      <c r="N110" s="85">
        <f t="shared" si="96"/>
        <v>0</v>
      </c>
    </row>
    <row r="112" spans="1:15" x14ac:dyDescent="0.25">
      <c r="A112" s="83" t="s">
        <v>684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</row>
    <row r="113" spans="1:14" x14ac:dyDescent="0.25">
      <c r="A113" s="86" t="s">
        <v>651</v>
      </c>
      <c r="B113" s="86"/>
      <c r="C113" s="86"/>
      <c r="D113" s="87">
        <f>TB!D32</f>
        <v>421281</v>
      </c>
      <c r="E113" s="87">
        <f>D113*(1+Assumptions!C9)</f>
        <v>431813.02499999997</v>
      </c>
      <c r="F113" s="87">
        <f>E113*(1+Assumptions!D9)</f>
        <v>442608.3506249999</v>
      </c>
      <c r="G113" s="87">
        <f>F113*(1+Assumptions!E9)</f>
        <v>453673.55939062487</v>
      </c>
      <c r="H113" s="87">
        <f>G113*(1+Assumptions!F9)</f>
        <v>465015.39837539045</v>
      </c>
      <c r="I113" s="87">
        <f>H113*(1+Assumptions!G9)</f>
        <v>476640.78333477519</v>
      </c>
      <c r="J113" s="87">
        <f>I113*(1+Assumptions!H9)</f>
        <v>488556.8029181445</v>
      </c>
      <c r="K113" s="87">
        <f>J113*(1+Assumptions!I9)</f>
        <v>500770.72299109807</v>
      </c>
      <c r="L113" s="87">
        <f>K113*(1+Assumptions!J9)</f>
        <v>513289.99106587545</v>
      </c>
      <c r="M113" s="87">
        <f>L113*(1+Assumptions!K9)</f>
        <v>526122.24084252224</v>
      </c>
      <c r="N113" s="87">
        <f>M113*(1+Assumptions!L9)</f>
        <v>539275.29686358524</v>
      </c>
    </row>
    <row r="114" spans="1:14" x14ac:dyDescent="0.25">
      <c r="A114" s="83" t="s">
        <v>685</v>
      </c>
      <c r="B114" s="84"/>
      <c r="C114" s="84"/>
      <c r="D114" s="85">
        <f>SUBTOTAL(9,D113:D113)</f>
        <v>421281</v>
      </c>
      <c r="E114" s="85">
        <f t="shared" ref="E114:N114" si="97">SUBTOTAL(9,E113:E113)</f>
        <v>431813.02499999997</v>
      </c>
      <c r="F114" s="85">
        <f t="shared" si="97"/>
        <v>442608.3506249999</v>
      </c>
      <c r="G114" s="85">
        <f t="shared" si="97"/>
        <v>453673.55939062487</v>
      </c>
      <c r="H114" s="85">
        <f t="shared" si="97"/>
        <v>465015.39837539045</v>
      </c>
      <c r="I114" s="85">
        <f t="shared" si="97"/>
        <v>476640.78333477519</v>
      </c>
      <c r="J114" s="85">
        <f t="shared" si="97"/>
        <v>488556.8029181445</v>
      </c>
      <c r="K114" s="85">
        <f t="shared" si="97"/>
        <v>500770.72299109807</v>
      </c>
      <c r="L114" s="85">
        <f t="shared" si="97"/>
        <v>513289.99106587545</v>
      </c>
      <c r="M114" s="85">
        <f t="shared" si="97"/>
        <v>526122.24084252224</v>
      </c>
      <c r="N114" s="85">
        <f t="shared" si="97"/>
        <v>539275.29686358524</v>
      </c>
    </row>
  </sheetData>
  <mergeCells count="3">
    <mergeCell ref="A4:A5"/>
    <mergeCell ref="B4:B5"/>
    <mergeCell ref="C4:C5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747557E0-0539-45F0-94F4-564D875175E5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D49:N49</xm:sqref>
        </x14:conditionalFormatting>
        <x14:conditionalFormatting xmlns:xm="http://schemas.microsoft.com/office/excel/2006/main">
          <x14:cfRule type="iconSet" priority="6" id="{56321A8F-2042-4C79-B8AB-26804B23056A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D64:N64</xm:sqref>
        </x14:conditionalFormatting>
        <x14:conditionalFormatting xmlns:xm="http://schemas.microsoft.com/office/excel/2006/main">
          <x14:cfRule type="iconSet" priority="5" id="{79650DE3-2E52-49BE-A63A-A545441D24AE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D76:N76</xm:sqref>
        </x14:conditionalFormatting>
        <x14:conditionalFormatting xmlns:xm="http://schemas.microsoft.com/office/excel/2006/main">
          <x14:cfRule type="iconSet" priority="4" id="{17872A25-B168-4647-9768-787F02A9CADF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D87:N87</xm:sqref>
        </x14:conditionalFormatting>
        <x14:conditionalFormatting xmlns:xm="http://schemas.microsoft.com/office/excel/2006/main">
          <x14:cfRule type="iconSet" priority="3" id="{6675A88D-1376-4507-BD66-6DEA3CE21050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D94:N94</xm:sqref>
        </x14:conditionalFormatting>
        <x14:conditionalFormatting xmlns:xm="http://schemas.microsoft.com/office/excel/2006/main">
          <x14:cfRule type="iconSet" priority="2" id="{DCEA891F-73C7-42D3-9ECB-55ADE7F39C1E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D107:N107</xm:sqref>
        </x14:conditionalFormatting>
        <x14:conditionalFormatting xmlns:xm="http://schemas.microsoft.com/office/excel/2006/main">
          <x14:cfRule type="iconSet" priority="1" id="{5D4A5E7D-6226-4893-8464-66F6C613822A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D31:N31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="110" zoomScaleNormal="1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24" sqref="B24:B25"/>
    </sheetView>
  </sheetViews>
  <sheetFormatPr defaultRowHeight="15" x14ac:dyDescent="0.25"/>
  <cols>
    <col min="1" max="1" width="47.7109375" customWidth="1"/>
    <col min="2" max="12" width="12.7109375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1106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91" t="s">
        <v>8</v>
      </c>
      <c r="D4" s="91" t="s">
        <v>9</v>
      </c>
      <c r="E4" s="91" t="s">
        <v>10</v>
      </c>
      <c r="F4" s="91" t="s">
        <v>11</v>
      </c>
      <c r="G4" s="91" t="s">
        <v>12</v>
      </c>
      <c r="H4" s="91" t="s">
        <v>13</v>
      </c>
      <c r="I4" s="91" t="s">
        <v>14</v>
      </c>
      <c r="J4" s="91" t="s">
        <v>15</v>
      </c>
      <c r="K4" s="91" t="s">
        <v>16</v>
      </c>
      <c r="L4" s="91" t="s">
        <v>17</v>
      </c>
    </row>
    <row r="5" spans="1:12" x14ac:dyDescent="0.25">
      <c r="A5" s="6"/>
      <c r="B5" s="7">
        <f>BASE_YR</f>
        <v>2018</v>
      </c>
      <c r="C5" s="91">
        <f>B5+1</f>
        <v>2019</v>
      </c>
      <c r="D5" s="91">
        <f t="shared" ref="D5:L5" si="0">C5+1</f>
        <v>2020</v>
      </c>
      <c r="E5" s="91">
        <f t="shared" si="0"/>
        <v>2021</v>
      </c>
      <c r="F5" s="91">
        <f t="shared" si="0"/>
        <v>2022</v>
      </c>
      <c r="G5" s="91">
        <f t="shared" si="0"/>
        <v>2023</v>
      </c>
      <c r="H5" s="91">
        <f t="shared" si="0"/>
        <v>2024</v>
      </c>
      <c r="I5" s="91">
        <f t="shared" si="0"/>
        <v>2025</v>
      </c>
      <c r="J5" s="91">
        <f t="shared" si="0"/>
        <v>2026</v>
      </c>
      <c r="K5" s="91">
        <f t="shared" si="0"/>
        <v>2027</v>
      </c>
      <c r="L5" s="91">
        <f t="shared" si="0"/>
        <v>2028</v>
      </c>
    </row>
    <row r="7" spans="1:12" ht="15.75" x14ac:dyDescent="0.25">
      <c r="A7" s="126" t="s">
        <v>1107</v>
      </c>
    </row>
    <row r="8" spans="1:12" x14ac:dyDescent="0.25">
      <c r="A8" s="44"/>
    </row>
    <row r="9" spans="1:12" x14ac:dyDescent="0.25">
      <c r="A9" s="100" t="s">
        <v>1074</v>
      </c>
    </row>
    <row r="10" spans="1:12" x14ac:dyDescent="0.25">
      <c r="A10" s="115" t="s">
        <v>1075</v>
      </c>
      <c r="B10" s="196">
        <f>'SS7 Work'!B9</f>
        <v>1.1411430868617787</v>
      </c>
      <c r="C10" s="196">
        <f>'SS7 Work'!C9</f>
        <v>2.280768119231344</v>
      </c>
      <c r="D10" s="196">
        <f>'SS7 Work'!D9</f>
        <v>1.1751565050161616</v>
      </c>
      <c r="E10" s="196">
        <f>'SS7 Work'!E9</f>
        <v>1.3097174605126052</v>
      </c>
      <c r="F10" s="196">
        <f>'SS7 Work'!F9</f>
        <v>1.2485102785817881</v>
      </c>
      <c r="G10" s="196">
        <f>'SS7 Work'!G9</f>
        <v>1.2279685977700259</v>
      </c>
      <c r="H10" s="196">
        <f>'SS7 Work'!H9</f>
        <v>1.1035446969482907</v>
      </c>
      <c r="I10" s="196">
        <f>'SS7 Work'!I9</f>
        <v>1.1184061425125242</v>
      </c>
      <c r="J10" s="196">
        <f>'SS7 Work'!J9</f>
        <v>1.0456858639155813</v>
      </c>
      <c r="K10" s="196">
        <f>'SS7 Work'!K9</f>
        <v>1.0289139296209631</v>
      </c>
      <c r="L10" s="196">
        <f>'SS7 Work'!L9</f>
        <v>1.0396092045674621</v>
      </c>
    </row>
    <row r="11" spans="1:12" x14ac:dyDescent="0.25">
      <c r="A11" s="50" t="s">
        <v>1076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</row>
    <row r="12" spans="1:12" x14ac:dyDescent="0.25">
      <c r="A12" s="44"/>
    </row>
    <row r="13" spans="1:12" x14ac:dyDescent="0.25">
      <c r="A13" s="100" t="s">
        <v>1091</v>
      </c>
    </row>
    <row r="14" spans="1:12" x14ac:dyDescent="0.25">
      <c r="A14" s="131" t="s">
        <v>1108</v>
      </c>
    </row>
    <row r="15" spans="1:12" x14ac:dyDescent="0.25">
      <c r="A15" s="115" t="s">
        <v>1109</v>
      </c>
      <c r="B15" s="199">
        <f>'SS7 Work'!B32</f>
        <v>6.1466732862549868E-3</v>
      </c>
      <c r="C15" s="199">
        <f>'SS7 Work'!C32</f>
        <v>5.9287453422837422E-3</v>
      </c>
      <c r="D15" s="199">
        <f>'SS7 Work'!D32</f>
        <v>5.8717344936951663E-3</v>
      </c>
      <c r="E15" s="199">
        <f>'SS7 Work'!E32</f>
        <v>5.8227448891735702E-3</v>
      </c>
      <c r="F15" s="199">
        <f>'SS7 Work'!F32</f>
        <v>5.7789841323411164E-3</v>
      </c>
      <c r="G15" s="199">
        <f>'SS7 Work'!G32</f>
        <v>5.7380251383021032E-3</v>
      </c>
      <c r="H15" s="199">
        <f>'SS7 Work'!H32</f>
        <v>5.7083361260074038E-3</v>
      </c>
      <c r="I15" s="199">
        <f>'SS7 Work'!I32</f>
        <v>5.6762658544573059E-3</v>
      </c>
      <c r="J15" s="199">
        <f>'SS7 Work'!J32</f>
        <v>5.6518165638506637E-3</v>
      </c>
      <c r="K15" s="199">
        <f>'SS7 Work'!K32</f>
        <v>5.6336419122343826E-3</v>
      </c>
      <c r="L15" s="199">
        <f>'SS7 Work'!L32</f>
        <v>5.6099091172642579E-3</v>
      </c>
    </row>
    <row r="16" spans="1:12" x14ac:dyDescent="0.25">
      <c r="A16" s="50" t="s">
        <v>1110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</row>
    <row r="17" spans="1:12" x14ac:dyDescent="0.25">
      <c r="A17" s="50" t="s">
        <v>1111</v>
      </c>
    </row>
    <row r="18" spans="1:12" x14ac:dyDescent="0.25">
      <c r="A18" s="44"/>
    </row>
    <row r="19" spans="1:12" x14ac:dyDescent="0.25">
      <c r="A19" s="100" t="s">
        <v>1097</v>
      </c>
    </row>
    <row r="20" spans="1:12" x14ac:dyDescent="0.25">
      <c r="A20" s="115" t="s">
        <v>1098</v>
      </c>
      <c r="B20" s="198">
        <f>'SS7 Work'!B57</f>
        <v>1.5478510710115174</v>
      </c>
      <c r="C20" s="198">
        <f>'SS7 Work'!C57</f>
        <v>1.4653552390176532</v>
      </c>
      <c r="D20" s="198">
        <f>'SS7 Work'!D57</f>
        <v>1.4668511253925418</v>
      </c>
      <c r="E20" s="198">
        <f>'SS7 Work'!E57</f>
        <v>1.4683672194402666</v>
      </c>
      <c r="F20" s="198">
        <f>'SS7 Work'!F57</f>
        <v>1.4746951110868975</v>
      </c>
      <c r="G20" s="198">
        <f>'SS7 Work'!G57</f>
        <v>1.481102367177991</v>
      </c>
      <c r="H20" s="198">
        <f>'SS7 Work'!H57</f>
        <v>1.4875893277891077</v>
      </c>
      <c r="I20" s="198">
        <f>'SS7 Work'!I57</f>
        <v>1.4941563178068826</v>
      </c>
      <c r="J20" s="198">
        <f>'SS7 Work'!J57</f>
        <v>1.5008036473093485</v>
      </c>
      <c r="K20" s="198">
        <f>'SS7 Work'!K57</f>
        <v>1.5025943199107537</v>
      </c>
      <c r="L20" s="198">
        <f>'SS7 Work'!L57</f>
        <v>1.4955580239540016</v>
      </c>
    </row>
    <row r="21" spans="1:12" x14ac:dyDescent="0.25">
      <c r="A21" s="50" t="s">
        <v>1099</v>
      </c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</row>
    <row r="22" spans="1:12" x14ac:dyDescent="0.25">
      <c r="A22" s="44"/>
    </row>
    <row r="23" spans="1:12" x14ac:dyDescent="0.25">
      <c r="A23" s="100" t="s">
        <v>1100</v>
      </c>
    </row>
    <row r="24" spans="1:12" x14ac:dyDescent="0.25">
      <c r="A24" s="115" t="s">
        <v>1101</v>
      </c>
      <c r="B24" s="198">
        <f>'SS7 Work'!B74</f>
        <v>1.3294204355214931</v>
      </c>
      <c r="C24" s="198">
        <f>'SS7 Work'!C74</f>
        <v>2.8492794726805237</v>
      </c>
      <c r="D24" s="198">
        <f>'SS7 Work'!D74</f>
        <v>1.4539509403322024</v>
      </c>
      <c r="E24" s="198">
        <f>'SS7 Work'!E74</f>
        <v>1.4979999788505007</v>
      </c>
      <c r="F24" s="198">
        <f>'SS7 Work'!F74</f>
        <v>1.406622357348176</v>
      </c>
      <c r="G24" s="198">
        <f>'SS7 Work'!G74</f>
        <v>1.366858085510755</v>
      </c>
      <c r="H24" s="198">
        <f>'SS7 Work'!H74</f>
        <v>1.318684453601473</v>
      </c>
      <c r="I24" s="198">
        <f>'SS7 Work'!I74</f>
        <v>1.2467417244898842</v>
      </c>
      <c r="J24" s="198">
        <f>'SS7 Work'!J74</f>
        <v>1.2572268893485699</v>
      </c>
      <c r="K24" s="198">
        <f>'SS7 Work'!K74</f>
        <v>1.2521817906667831</v>
      </c>
      <c r="L24" s="198">
        <f>'SS7 Work'!L74</f>
        <v>1.2162103578174512</v>
      </c>
    </row>
    <row r="25" spans="1:12" x14ac:dyDescent="0.25">
      <c r="A25" s="50" t="s">
        <v>1102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</row>
  </sheetData>
  <mergeCells count="44">
    <mergeCell ref="G24:G25"/>
    <mergeCell ref="H24:H25"/>
    <mergeCell ref="I24:I25"/>
    <mergeCell ref="J24:J25"/>
    <mergeCell ref="K24:K25"/>
    <mergeCell ref="L24:L25"/>
    <mergeCell ref="H20:H21"/>
    <mergeCell ref="I20:I21"/>
    <mergeCell ref="J20:J21"/>
    <mergeCell ref="K20:K21"/>
    <mergeCell ref="L20:L21"/>
    <mergeCell ref="B24:B25"/>
    <mergeCell ref="C24:C25"/>
    <mergeCell ref="D24:D25"/>
    <mergeCell ref="E24:E25"/>
    <mergeCell ref="F24:F25"/>
    <mergeCell ref="B20:B21"/>
    <mergeCell ref="C20:C21"/>
    <mergeCell ref="D20:D21"/>
    <mergeCell ref="E20:E21"/>
    <mergeCell ref="F20:F21"/>
    <mergeCell ref="G20:G21"/>
    <mergeCell ref="G15:G16"/>
    <mergeCell ref="H15:H16"/>
    <mergeCell ref="I15:I16"/>
    <mergeCell ref="J15:J16"/>
    <mergeCell ref="K15:K16"/>
    <mergeCell ref="L15:L16"/>
    <mergeCell ref="H10:H11"/>
    <mergeCell ref="I10:I11"/>
    <mergeCell ref="J10:J11"/>
    <mergeCell ref="K10:K11"/>
    <mergeCell ref="L10:L11"/>
    <mergeCell ref="B15:B16"/>
    <mergeCell ref="C15:C16"/>
    <mergeCell ref="D15:D16"/>
    <mergeCell ref="E15:E16"/>
    <mergeCell ref="F15:F16"/>
    <mergeCell ref="G10:G11"/>
    <mergeCell ref="B10:B11"/>
    <mergeCell ref="C10:C11"/>
    <mergeCell ref="D10:D11"/>
    <mergeCell ref="E10:E11"/>
    <mergeCell ref="F10:F1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zoomScale="110" zoomScaleNormal="110" workbookViewId="0">
      <pane xSplit="1" ySplit="5" topLeftCell="B63" activePane="bottomRight" state="frozen"/>
      <selection pane="topRight" activeCell="B1" sqref="B1"/>
      <selection pane="bottomLeft" activeCell="A6" sqref="A6"/>
      <selection pane="bottomRight" activeCell="H69" sqref="H69"/>
    </sheetView>
  </sheetViews>
  <sheetFormatPr defaultRowHeight="15" x14ac:dyDescent="0.25"/>
  <cols>
    <col min="1" max="1" width="64.7109375" customWidth="1"/>
    <col min="2" max="12" width="12.7109375" customWidth="1"/>
  </cols>
  <sheetData>
    <row r="1" spans="1:12" ht="20.25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 t="s">
        <v>1073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91" t="s">
        <v>8</v>
      </c>
      <c r="D4" s="91" t="s">
        <v>9</v>
      </c>
      <c r="E4" s="91" t="s">
        <v>10</v>
      </c>
      <c r="F4" s="91" t="s">
        <v>11</v>
      </c>
      <c r="G4" s="91" t="s">
        <v>12</v>
      </c>
      <c r="H4" s="91" t="s">
        <v>13</v>
      </c>
      <c r="I4" s="91" t="s">
        <v>14</v>
      </c>
      <c r="J4" s="91" t="s">
        <v>15</v>
      </c>
      <c r="K4" s="91" t="s">
        <v>16</v>
      </c>
      <c r="L4" s="91" t="s">
        <v>17</v>
      </c>
    </row>
    <row r="5" spans="1:12" x14ac:dyDescent="0.25">
      <c r="A5" s="6"/>
      <c r="B5" s="7">
        <f>BASE_YR</f>
        <v>2018</v>
      </c>
      <c r="C5" s="91">
        <f>B5+1</f>
        <v>2019</v>
      </c>
      <c r="D5" s="91">
        <f t="shared" ref="D5:L5" si="0">C5+1</f>
        <v>2020</v>
      </c>
      <c r="E5" s="91">
        <f t="shared" si="0"/>
        <v>2021</v>
      </c>
      <c r="F5" s="91">
        <f t="shared" si="0"/>
        <v>2022</v>
      </c>
      <c r="G5" s="91">
        <f t="shared" si="0"/>
        <v>2023</v>
      </c>
      <c r="H5" s="91">
        <f t="shared" si="0"/>
        <v>2024</v>
      </c>
      <c r="I5" s="91">
        <f t="shared" si="0"/>
        <v>2025</v>
      </c>
      <c r="J5" s="91">
        <f t="shared" si="0"/>
        <v>2026</v>
      </c>
      <c r="K5" s="91">
        <f t="shared" si="0"/>
        <v>2027</v>
      </c>
      <c r="L5" s="91">
        <f t="shared" si="0"/>
        <v>2028</v>
      </c>
    </row>
    <row r="7" spans="1:12" x14ac:dyDescent="0.25">
      <c r="A7" s="100" t="s">
        <v>1074</v>
      </c>
    </row>
    <row r="8" spans="1:12" x14ac:dyDescent="0.25">
      <c r="A8" s="44"/>
    </row>
    <row r="9" spans="1:12" x14ac:dyDescent="0.25">
      <c r="A9" s="115" t="s">
        <v>1075</v>
      </c>
      <c r="B9" s="122">
        <f>B13/B22</f>
        <v>1.1411430868617787</v>
      </c>
      <c r="C9" s="122">
        <f t="shared" ref="C9:L9" si="1">C13/C22</f>
        <v>2.280768119231344</v>
      </c>
      <c r="D9" s="122">
        <f t="shared" si="1"/>
        <v>1.1751565050161616</v>
      </c>
      <c r="E9" s="122">
        <f t="shared" si="1"/>
        <v>1.3097174605126052</v>
      </c>
      <c r="F9" s="122">
        <f t="shared" si="1"/>
        <v>1.2485102785817881</v>
      </c>
      <c r="G9" s="122">
        <f t="shared" si="1"/>
        <v>1.2279685977700259</v>
      </c>
      <c r="H9" s="122">
        <f t="shared" si="1"/>
        <v>1.1035446969482907</v>
      </c>
      <c r="I9" s="122">
        <f t="shared" si="1"/>
        <v>1.1184061425125242</v>
      </c>
      <c r="J9" s="122">
        <f t="shared" si="1"/>
        <v>1.0456858639155813</v>
      </c>
      <c r="K9" s="122">
        <f t="shared" si="1"/>
        <v>1.0289139296209631</v>
      </c>
      <c r="L9" s="122">
        <f t="shared" si="1"/>
        <v>1.0396092045674621</v>
      </c>
    </row>
    <row r="10" spans="1:12" x14ac:dyDescent="0.25">
      <c r="A10" s="50" t="s">
        <v>1076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2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2" x14ac:dyDescent="0.25">
      <c r="A12" s="3" t="s">
        <v>1004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2" x14ac:dyDescent="0.25">
      <c r="A13" s="6" t="s">
        <v>1077</v>
      </c>
      <c r="B13" s="123">
        <f>SUMIF('Capital Works'!$C:$C,"Renewal",'Capital Works'!D:D)-SUMIF('Capital Works'!$C25:$C27,"Renewal",'Capital Works'!D25:D27)</f>
        <v>20471386.917012498</v>
      </c>
      <c r="C13" s="123">
        <f>SUMIF('Capital Works'!$C:$C,"Renewal",'Capital Works'!E:E)-SUMIF('Capital Works'!$C25:$C27,"Renewal",'Capital Works'!E25:E27)</f>
        <v>41771166.731296971</v>
      </c>
      <c r="D13" s="123">
        <f>SUMIF('Capital Works'!$C:$C,"Renewal",'Capital Works'!F:F)-SUMIF('Capital Works'!$C25:$C27,"Renewal",'Capital Works'!F25:F27)</f>
        <v>22868670.016786363</v>
      </c>
      <c r="E13" s="123">
        <f>SUMIF('Capital Works'!$C:$C,"Renewal",'Capital Works'!G:G)-SUMIF('Capital Works'!$C25:$C27,"Renewal",'Capital Works'!G25:G27)</f>
        <v>26570731.858738352</v>
      </c>
      <c r="F13" s="123">
        <f>SUMIF('Capital Works'!$C:$C,"Renewal",'Capital Works'!H:H)-SUMIF('Capital Works'!$C25:$C27,"Renewal",'Capital Works'!H25:H27)</f>
        <v>26393364.261316411</v>
      </c>
      <c r="G13" s="123">
        <f>SUMIF('Capital Works'!$C:$C,"Renewal",'Capital Works'!I:I)-SUMIF('Capital Works'!$C25:$C27,"Renewal",'Capital Works'!I25:I27)</f>
        <v>27034144.024511725</v>
      </c>
      <c r="H13" s="123">
        <f>SUMIF('Capital Works'!$C:$C,"Renewal",'Capital Works'!J:J)-SUMIF('Capital Works'!$C25:$C27,"Renewal",'Capital Works'!J25:J27)</f>
        <v>25293589.522179108</v>
      </c>
      <c r="I13" s="123">
        <f>SUMIF('Capital Works'!$C:$C,"Renewal",'Capital Works'!K:K)-SUMIF('Capital Works'!$C25:$C27,"Renewal",'Capital Works'!K25:K27)</f>
        <v>26654908.158142682</v>
      </c>
      <c r="J13" s="123">
        <f>SUMIF('Capital Works'!$C:$C,"Renewal",'Capital Works'!L:L)-SUMIF('Capital Works'!$C25:$C27,"Renewal",'Capital Works'!L25:L27)</f>
        <v>25922202.666955717</v>
      </c>
      <c r="K13" s="123">
        <f>SUMIF('Capital Works'!$C:$C,"Renewal",'Capital Works'!M:M)-SUMIF('Capital Works'!$C25:$C27,"Renewal",'Capital Works'!M25:M27)</f>
        <v>26508888.73278242</v>
      </c>
      <c r="L13" s="123">
        <f>SUMIF('Capital Works'!$C:$C,"Renewal",'Capital Works'!N:N)-SUMIF('Capital Works'!$C25:$C27,"Renewal",'Capital Works'!N25:N27)</f>
        <v>27815519.072727319</v>
      </c>
    </row>
    <row r="14" spans="1:12" x14ac:dyDescent="0.25">
      <c r="A14" s="93" t="s">
        <v>1078</v>
      </c>
      <c r="B14" s="108">
        <f>'Capital Works'!D48</f>
        <v>5732891.9170124996</v>
      </c>
      <c r="C14" s="108">
        <f>'Capital Works'!E48</f>
        <v>22974978.696869276</v>
      </c>
      <c r="D14" s="108">
        <f>'Capital Works'!F48</f>
        <v>4249933.2383028064</v>
      </c>
      <c r="E14" s="108">
        <f>'Capital Works'!G48</f>
        <v>5082033.7149614543</v>
      </c>
      <c r="F14" s="108">
        <f>'Capital Works'!H48</f>
        <v>5007802.488498793</v>
      </c>
      <c r="G14" s="108">
        <f>'Capital Works'!I48</f>
        <v>5137317.1280603791</v>
      </c>
      <c r="H14" s="108">
        <f>'Capital Works'!J48</f>
        <v>5370686.6874308838</v>
      </c>
      <c r="I14" s="108">
        <f>'Capital Works'!K48</f>
        <v>5705991.3459743783</v>
      </c>
      <c r="J14" s="108">
        <f>'Capital Works'!L48</f>
        <v>5147337.5484778145</v>
      </c>
      <c r="K14" s="108">
        <f>'Capital Works'!M48</f>
        <v>5292882.3238304313</v>
      </c>
      <c r="L14" s="108">
        <f>'Capital Works'!N48</f>
        <v>5542747.6760398112</v>
      </c>
    </row>
    <row r="15" spans="1:12" x14ac:dyDescent="0.25">
      <c r="A15" s="93" t="s">
        <v>1079</v>
      </c>
      <c r="B15" s="108">
        <f>'Capital Works'!D63</f>
        <v>5436495</v>
      </c>
      <c r="C15" s="108">
        <f>'Capital Works'!E63</f>
        <v>8963112.4957245402</v>
      </c>
      <c r="D15" s="108">
        <f>'Capital Works'!F63</f>
        <v>8438439.2690479942</v>
      </c>
      <c r="E15" s="108">
        <f>'Capital Works'!G63</f>
        <v>10640418.791411355</v>
      </c>
      <c r="F15" s="108">
        <f>'Capital Works'!H63</f>
        <v>10907060.261180835</v>
      </c>
      <c r="G15" s="108">
        <f>'Capital Works'!I63</f>
        <v>11181315.656452514</v>
      </c>
      <c r="H15" s="108">
        <f>'Capital Works'!J63</f>
        <v>10963398.91970261</v>
      </c>
      <c r="I15" s="108">
        <f>'Capital Works'!K63</f>
        <v>11238236.373484666</v>
      </c>
      <c r="J15" s="108">
        <f>'Capital Works'!L63</f>
        <v>11505617.727291241</v>
      </c>
      <c r="K15" s="108">
        <f>'Capital Works'!M63</f>
        <v>11780589.219452661</v>
      </c>
      <c r="L15" s="108">
        <f>'Capital Works'!N63</f>
        <v>12063363.146781622</v>
      </c>
    </row>
    <row r="16" spans="1:12" x14ac:dyDescent="0.25">
      <c r="A16" s="93" t="s">
        <v>1080</v>
      </c>
      <c r="B16" s="108">
        <f>'Capital Works'!D75</f>
        <v>2175000</v>
      </c>
      <c r="C16" s="108">
        <f>'Capital Works'!E75</f>
        <v>2284734.0451873979</v>
      </c>
      <c r="D16" s="108">
        <f>'Capital Works'!F75</f>
        <v>2293797.4907952053</v>
      </c>
      <c r="E16" s="108">
        <f>'Capital Works'!G75</f>
        <v>1603204.1858900236</v>
      </c>
      <c r="F16" s="108">
        <f>'Capital Works'!H75</f>
        <v>1011130.3676010019</v>
      </c>
      <c r="G16" s="108">
        <f>'Capital Works'!I75</f>
        <v>1019263.3068958034</v>
      </c>
      <c r="H16" s="108">
        <f>'Capital Works'!J75</f>
        <v>1027608.3868563082</v>
      </c>
      <c r="I16" s="108">
        <f>'Capital Works'!K75</f>
        <v>1536171.1304755234</v>
      </c>
      <c r="J16" s="108">
        <f>'Capital Works'!L75</f>
        <v>844957.20428829675</v>
      </c>
      <c r="K16" s="108">
        <f>'Capital Works'!M75</f>
        <v>753972.42209611321</v>
      </c>
      <c r="L16" s="108">
        <f>'Capital Works'!N75</f>
        <v>1263222.7487884073</v>
      </c>
    </row>
    <row r="17" spans="1:13" x14ac:dyDescent="0.25">
      <c r="A17" s="93" t="s">
        <v>1081</v>
      </c>
      <c r="B17" s="108">
        <f>'Capital Works'!D86</f>
        <v>2225000</v>
      </c>
      <c r="C17" s="108">
        <f>'Capital Works'!E86</f>
        <v>2325671.607091242</v>
      </c>
      <c r="D17" s="108">
        <f>'Capital Works'!F86</f>
        <v>2406468.2119825305</v>
      </c>
      <c r="E17" s="108">
        <f>'Capital Works'!G86</f>
        <v>2492142.9839930767</v>
      </c>
      <c r="F17" s="108">
        <f>'Capital Works'!H86</f>
        <v>2537925.4466542341</v>
      </c>
      <c r="G17" s="108">
        <f>'Capital Works'!I86</f>
        <v>2585063.2453876161</v>
      </c>
      <c r="H17" s="108">
        <f>'Capital Works'!J86</f>
        <v>1633595.5100809971</v>
      </c>
      <c r="I17" s="108">
        <f>'Capital Works'!K86</f>
        <v>1683562.4795543053</v>
      </c>
      <c r="J17" s="108">
        <f>'Capital Works'!L86</f>
        <v>1735005.5325398534</v>
      </c>
      <c r="K17" s="108">
        <f>'Capital Works'!M86</f>
        <v>1787967.219518272</v>
      </c>
      <c r="L17" s="108">
        <f>'Capital Works'!N86</f>
        <v>1842491.2954335662</v>
      </c>
      <c r="M17" s="44"/>
    </row>
    <row r="18" spans="1:13" x14ac:dyDescent="0.25">
      <c r="A18" s="93" t="s">
        <v>1082</v>
      </c>
      <c r="B18" s="108">
        <f>'Capital Works'!D93</f>
        <v>0</v>
      </c>
      <c r="C18" s="108">
        <f>'Capital Works'!E93</f>
        <v>0</v>
      </c>
      <c r="D18" s="108">
        <f>'Capital Works'!F93</f>
        <v>0</v>
      </c>
      <c r="E18" s="108">
        <f>'Capital Works'!G93</f>
        <v>0</v>
      </c>
      <c r="F18" s="108">
        <f>'Capital Works'!H93</f>
        <v>0</v>
      </c>
      <c r="G18" s="108">
        <f>'Capital Works'!I93</f>
        <v>0</v>
      </c>
      <c r="H18" s="108">
        <f>'Capital Works'!J93</f>
        <v>0</v>
      </c>
      <c r="I18" s="108">
        <f>'Capital Works'!K93</f>
        <v>0</v>
      </c>
      <c r="J18" s="108">
        <f>'Capital Works'!L93</f>
        <v>0</v>
      </c>
      <c r="K18" s="108">
        <f>'Capital Works'!M93</f>
        <v>0</v>
      </c>
      <c r="L18" s="108">
        <f>'Capital Works'!N93</f>
        <v>0</v>
      </c>
      <c r="M18" s="44"/>
    </row>
    <row r="19" spans="1:13" x14ac:dyDescent="0.25">
      <c r="A19" s="93" t="s">
        <v>1083</v>
      </c>
      <c r="B19" s="108">
        <f>'Capital Works'!D106</f>
        <v>4902000</v>
      </c>
      <c r="C19" s="108">
        <f>'Capital Works'!E106</f>
        <v>5222669.8864245117</v>
      </c>
      <c r="D19" s="108">
        <f>'Capital Works'!F106</f>
        <v>5480031.8066578237</v>
      </c>
      <c r="E19" s="108">
        <f>'Capital Works'!G106</f>
        <v>6752932.1824824372</v>
      </c>
      <c r="F19" s="108">
        <f>'Capital Works'!H106</f>
        <v>6929445.6973815523</v>
      </c>
      <c r="G19" s="108">
        <f>'Capital Works'!I106</f>
        <v>7111184.6877154121</v>
      </c>
      <c r="H19" s="108">
        <f>'Capital Works'!J106</f>
        <v>6298300.0181083092</v>
      </c>
      <c r="I19" s="108">
        <f>'Capital Works'!K106</f>
        <v>6490946.8286538105</v>
      </c>
      <c r="J19" s="108">
        <f>'Capital Works'!L106</f>
        <v>6689284.654358509</v>
      </c>
      <c r="K19" s="108">
        <f>'Capital Works'!M106</f>
        <v>6893477.5478849374</v>
      </c>
      <c r="L19" s="108">
        <f>'Capital Works'!N106</f>
        <v>7103694.2056839112</v>
      </c>
      <c r="M19" s="44"/>
    </row>
    <row r="20" spans="1:13" x14ac:dyDescent="0.25">
      <c r="A20" s="129" t="s">
        <v>1084</v>
      </c>
      <c r="B20" s="130">
        <f t="shared" ref="B20:L20" si="2">B13-SUM(B14:B19)</f>
        <v>0</v>
      </c>
      <c r="C20" s="130">
        <f t="shared" si="2"/>
        <v>0</v>
      </c>
      <c r="D20" s="130">
        <f t="shared" si="2"/>
        <v>0</v>
      </c>
      <c r="E20" s="130">
        <f t="shared" si="2"/>
        <v>0</v>
      </c>
      <c r="F20" s="130">
        <f t="shared" si="2"/>
        <v>0</v>
      </c>
      <c r="G20" s="130">
        <f t="shared" si="2"/>
        <v>0</v>
      </c>
      <c r="H20" s="130">
        <f t="shared" si="2"/>
        <v>0</v>
      </c>
      <c r="I20" s="130">
        <f t="shared" si="2"/>
        <v>0</v>
      </c>
      <c r="J20" s="130">
        <f t="shared" si="2"/>
        <v>0</v>
      </c>
      <c r="K20" s="130">
        <f t="shared" si="2"/>
        <v>0</v>
      </c>
      <c r="L20" s="130">
        <f t="shared" si="2"/>
        <v>0</v>
      </c>
    </row>
    <row r="21" spans="1:13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3" x14ac:dyDescent="0.25">
      <c r="A22" s="3" t="s">
        <v>1009</v>
      </c>
      <c r="B22" s="123">
        <f>SUM(B23:B28)</f>
        <v>17939369</v>
      </c>
      <c r="C22" s="123">
        <f t="shared" ref="C22:L22" si="3">SUM(C23:C28)</f>
        <v>18314517.104603574</v>
      </c>
      <c r="D22" s="123">
        <f t="shared" si="3"/>
        <v>19460105.883064363</v>
      </c>
      <c r="E22" s="123">
        <f t="shared" si="3"/>
        <v>20287376.980023567</v>
      </c>
      <c r="F22" s="123">
        <f t="shared" si="3"/>
        <v>21139885.441149309</v>
      </c>
      <c r="G22" s="123">
        <f t="shared" si="3"/>
        <v>22015338.23715473</v>
      </c>
      <c r="H22" s="123">
        <f t="shared" si="3"/>
        <v>22920312.690664221</v>
      </c>
      <c r="I22" s="123">
        <f t="shared" si="3"/>
        <v>23832941.491417278</v>
      </c>
      <c r="J22" s="123">
        <f t="shared" si="3"/>
        <v>24789665.38754743</v>
      </c>
      <c r="K22" s="123">
        <f t="shared" si="3"/>
        <v>25763951.648072168</v>
      </c>
      <c r="L22" s="123">
        <f t="shared" si="3"/>
        <v>26755745.284402512</v>
      </c>
    </row>
    <row r="23" spans="1:13" x14ac:dyDescent="0.25">
      <c r="A23" s="6" t="s">
        <v>1085</v>
      </c>
      <c r="B23" s="108">
        <f>-'Note 9'!C121</f>
        <v>3436012</v>
      </c>
      <c r="C23" s="108">
        <f>-'Note 9'!D121</f>
        <v>3865692.2882522494</v>
      </c>
      <c r="D23" s="108">
        <f>-'Note 9'!E121</f>
        <v>4403741.5813326277</v>
      </c>
      <c r="E23" s="108">
        <f>-'Note 9'!F121</f>
        <v>4592622.245178123</v>
      </c>
      <c r="F23" s="108">
        <f>-'Note 9'!G121</f>
        <v>4796511.983266077</v>
      </c>
      <c r="G23" s="108">
        <f>-'Note 9'!H121</f>
        <v>5005620.4636023538</v>
      </c>
      <c r="H23" s="108">
        <f>-'Note 9'!I121</f>
        <v>5222215.3251379719</v>
      </c>
      <c r="I23" s="108">
        <f>-'Note 9'!J121</f>
        <v>5447586.7887271512</v>
      </c>
      <c r="J23" s="108">
        <f>-'Note 9'!K121</f>
        <v>5675638.2241062121</v>
      </c>
      <c r="K23" s="108">
        <f>-'Note 9'!L121</f>
        <v>5904603.9328983296</v>
      </c>
      <c r="L23" s="108">
        <f>-'Note 9'!M121</f>
        <v>6141831.8087541861</v>
      </c>
    </row>
    <row r="24" spans="1:13" x14ac:dyDescent="0.25">
      <c r="A24" s="6" t="s">
        <v>1086</v>
      </c>
      <c r="B24" s="108">
        <f>-'Note 9'!C137</f>
        <v>8754502</v>
      </c>
      <c r="C24" s="108">
        <f>-'Note 9'!D137</f>
        <v>8148679.8015997801</v>
      </c>
      <c r="D24" s="108">
        <f>-'Note 9'!E137</f>
        <v>8443660.9444576129</v>
      </c>
      <c r="E24" s="108">
        <f>-'Note 9'!F137</f>
        <v>8750459.9723057114</v>
      </c>
      <c r="F24" s="108">
        <f>-'Note 9'!G137</f>
        <v>9049185.0380287319</v>
      </c>
      <c r="G24" s="108">
        <f>-'Note 9'!H137</f>
        <v>9357384.4326761235</v>
      </c>
      <c r="H24" s="108">
        <f>-'Note 9'!I137</f>
        <v>9675352.1327883229</v>
      </c>
      <c r="I24" s="108">
        <f>-'Note 9'!J137</f>
        <v>9999751.0656029489</v>
      </c>
      <c r="J24" s="108">
        <f>-'Note 9'!K137</f>
        <v>10334331.040082606</v>
      </c>
      <c r="K24" s="108">
        <f>-'Note 9'!L137</f>
        <v>10679294.125577589</v>
      </c>
      <c r="L24" s="108">
        <f>-'Note 9'!M137</f>
        <v>11034957.027058301</v>
      </c>
    </row>
    <row r="25" spans="1:13" x14ac:dyDescent="0.25">
      <c r="A25" s="6" t="s">
        <v>1087</v>
      </c>
      <c r="B25" s="108">
        <f>-'Note 9'!C153</f>
        <v>1521941</v>
      </c>
      <c r="C25" s="108">
        <f>-'Note 9'!D153</f>
        <v>1466809.5624884013</v>
      </c>
      <c r="D25" s="108">
        <f>-'Note 9'!E153</f>
        <v>1551157.2335933899</v>
      </c>
      <c r="E25" s="108">
        <f>-'Note 9'!F153</f>
        <v>1652165.4930189755</v>
      </c>
      <c r="F25" s="108">
        <f>-'Note 9'!G153</f>
        <v>1737062.4313848466</v>
      </c>
      <c r="G25" s="108">
        <f>-'Note 9'!H153</f>
        <v>1818750.1784995045</v>
      </c>
      <c r="H25" s="108">
        <f>-'Note 9'!I153</f>
        <v>1903415.1062296808</v>
      </c>
      <c r="I25" s="108">
        <f>-'Note 9'!J153</f>
        <v>1991159.0076579452</v>
      </c>
      <c r="J25" s="108">
        <f>-'Note 9'!K153</f>
        <v>2087287.0040742171</v>
      </c>
      <c r="K25" s="108">
        <f>-'Note 9'!L153</f>
        <v>2179557.650238737</v>
      </c>
      <c r="L25" s="108">
        <f>-'Note 9'!M153</f>
        <v>2274144.2928896914</v>
      </c>
    </row>
    <row r="26" spans="1:13" x14ac:dyDescent="0.25">
      <c r="A26" s="6" t="s">
        <v>1088</v>
      </c>
      <c r="B26" s="108">
        <f>-'Note 9'!C169</f>
        <v>2357212</v>
      </c>
      <c r="C26" s="108">
        <f>-'Note 9'!D169</f>
        <v>2683904.9161230205</v>
      </c>
      <c r="D26" s="108">
        <f>-'Note 9'!E169</f>
        <v>2766817.1059543164</v>
      </c>
      <c r="E26" s="108">
        <f>-'Note 9'!F169</f>
        <v>2852351.5174446562</v>
      </c>
      <c r="F26" s="108">
        <f>-'Note 9'!G169</f>
        <v>2942306.8776719254</v>
      </c>
      <c r="G26" s="108">
        <f>-'Note 9'!H169</f>
        <v>3036522.4426509719</v>
      </c>
      <c r="H26" s="108">
        <f>-'Note 9'!I169</f>
        <v>3132563.9337858818</v>
      </c>
      <c r="I26" s="108">
        <f>-'Note 9'!J169</f>
        <v>3226236.4815990794</v>
      </c>
      <c r="J26" s="108">
        <f>-'Note 9'!K169</f>
        <v>3325140.6185000255</v>
      </c>
      <c r="K26" s="108">
        <f>-'Note 9'!L169</f>
        <v>3426017.1715837969</v>
      </c>
      <c r="L26" s="108">
        <f>-'Note 9'!M169</f>
        <v>3524675.7779661166</v>
      </c>
    </row>
    <row r="27" spans="1:13" x14ac:dyDescent="0.25">
      <c r="A27" s="6" t="s">
        <v>1089</v>
      </c>
      <c r="B27" s="108">
        <f>-'Note 9'!C185</f>
        <v>50825</v>
      </c>
      <c r="C27" s="108">
        <f>-'Note 9'!D185</f>
        <v>50710.162283520003</v>
      </c>
      <c r="D27" s="108">
        <f>-'Note 9'!E185</f>
        <v>51977.916340608004</v>
      </c>
      <c r="E27" s="108">
        <f>-'Note 9'!F185</f>
        <v>53277.364249123209</v>
      </c>
      <c r="F27" s="108">
        <f>-'Note 9'!G185</f>
        <v>54609.298355351282</v>
      </c>
      <c r="G27" s="108">
        <f>-'Note 9'!H185</f>
        <v>55974.53081423507</v>
      </c>
      <c r="H27" s="108">
        <f>-'Note 9'!I185</f>
        <v>57373.894084590953</v>
      </c>
      <c r="I27" s="108">
        <f>-'Note 9'!J185</f>
        <v>58808.241436705721</v>
      </c>
      <c r="J27" s="108">
        <f>-'Note 9'!K185</f>
        <v>60278.44747262336</v>
      </c>
      <c r="K27" s="108">
        <f>-'Note 9'!L185</f>
        <v>61785.408659438945</v>
      </c>
      <c r="L27" s="108">
        <f>-'Note 9'!M185</f>
        <v>63330.043875924923</v>
      </c>
    </row>
    <row r="28" spans="1:13" x14ac:dyDescent="0.25">
      <c r="A28" s="6" t="s">
        <v>1090</v>
      </c>
      <c r="B28" s="108">
        <f>-'Note 9'!C201</f>
        <v>1818877</v>
      </c>
      <c r="C28" s="108">
        <f>-'Note 9'!D201</f>
        <v>2098720.3738566022</v>
      </c>
      <c r="D28" s="108">
        <f>-'Note 9'!E201</f>
        <v>2242751.101385809</v>
      </c>
      <c r="E28" s="108">
        <f>-'Note 9'!F201</f>
        <v>2386500.3878269796</v>
      </c>
      <c r="F28" s="108">
        <f>-'Note 9'!G201</f>
        <v>2560209.812442373</v>
      </c>
      <c r="G28" s="108">
        <f>-'Note 9'!H201</f>
        <v>2741086.1889115372</v>
      </c>
      <c r="H28" s="108">
        <f>-'Note 9'!I201</f>
        <v>2929392.2986377715</v>
      </c>
      <c r="I28" s="108">
        <f>-'Note 9'!J201</f>
        <v>3109399.9063934488</v>
      </c>
      <c r="J28" s="108">
        <f>-'Note 9'!K201</f>
        <v>3306990.0533117461</v>
      </c>
      <c r="K28" s="108">
        <f>-'Note 9'!L201</f>
        <v>3512693.3591142762</v>
      </c>
      <c r="L28" s="108">
        <f>-'Note 9'!M201</f>
        <v>3716806.3338582921</v>
      </c>
    </row>
    <row r="30" spans="1:13" x14ac:dyDescent="0.25">
      <c r="A30" s="100" t="s">
        <v>1091</v>
      </c>
    </row>
    <row r="31" spans="1:13" x14ac:dyDescent="0.25">
      <c r="A31" s="44"/>
    </row>
    <row r="32" spans="1:13" x14ac:dyDescent="0.25">
      <c r="A32" s="115" t="s">
        <v>1092</v>
      </c>
      <c r="B32" s="122">
        <f>B36/B46</f>
        <v>6.1466732862549868E-3</v>
      </c>
      <c r="C32" s="122">
        <f t="shared" ref="C32:L32" si="4">C36/C46</f>
        <v>5.9287453422837422E-3</v>
      </c>
      <c r="D32" s="122">
        <f t="shared" si="4"/>
        <v>5.8717344936951663E-3</v>
      </c>
      <c r="E32" s="122">
        <f t="shared" si="4"/>
        <v>5.8227448891735702E-3</v>
      </c>
      <c r="F32" s="122">
        <f t="shared" si="4"/>
        <v>5.7789841323411164E-3</v>
      </c>
      <c r="G32" s="122">
        <f t="shared" si="4"/>
        <v>5.7380251383021032E-3</v>
      </c>
      <c r="H32" s="122">
        <f t="shared" si="4"/>
        <v>5.7083361260074038E-3</v>
      </c>
      <c r="I32" s="122">
        <f t="shared" si="4"/>
        <v>5.6762658544573059E-3</v>
      </c>
      <c r="J32" s="122">
        <f t="shared" si="4"/>
        <v>5.6518165638506637E-3</v>
      </c>
      <c r="K32" s="122">
        <f t="shared" si="4"/>
        <v>5.6336419122343826E-3</v>
      </c>
      <c r="L32" s="122">
        <f t="shared" si="4"/>
        <v>5.6099091172642579E-3</v>
      </c>
    </row>
    <row r="33" spans="1:12" x14ac:dyDescent="0.25">
      <c r="A33" s="50" t="s">
        <v>1093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 x14ac:dyDescent="0.25">
      <c r="A34" s="50" t="s">
        <v>1094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 x14ac:dyDescent="0.25">
      <c r="A36" s="3" t="s">
        <v>1004</v>
      </c>
      <c r="B36" s="123">
        <f>SUM(B38:B44)</f>
        <v>6379132.5499999989</v>
      </c>
      <c r="C36" s="123">
        <f t="shared" ref="C36:L36" si="5">SUM(C38:C44)</f>
        <v>6538610.8637499996</v>
      </c>
      <c r="D36" s="123">
        <f t="shared" si="5"/>
        <v>6702076.1353437519</v>
      </c>
      <c r="E36" s="123">
        <f t="shared" si="5"/>
        <v>6869628.0387273459</v>
      </c>
      <c r="F36" s="123">
        <f t="shared" si="5"/>
        <v>7041368.7396955304</v>
      </c>
      <c r="G36" s="123">
        <f t="shared" si="5"/>
        <v>7217402.9581879191</v>
      </c>
      <c r="H36" s="123">
        <f t="shared" si="5"/>
        <v>7397838.0321426187</v>
      </c>
      <c r="I36" s="123">
        <f t="shared" si="5"/>
        <v>7582783.9829461854</v>
      </c>
      <c r="J36" s="123">
        <f t="shared" si="5"/>
        <v>7772353.5825198404</v>
      </c>
      <c r="K36" s="123">
        <f t="shared" si="5"/>
        <v>7966662.4220828377</v>
      </c>
      <c r="L36" s="123">
        <f t="shared" si="5"/>
        <v>8165828.9826349095</v>
      </c>
    </row>
    <row r="37" spans="1:12" x14ac:dyDescent="0.25">
      <c r="A37" s="6" t="s">
        <v>1092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</row>
    <row r="38" spans="1:12" x14ac:dyDescent="0.25">
      <c r="A38" s="93" t="s">
        <v>1079</v>
      </c>
      <c r="B38" s="108">
        <f>[12]SS7!$C$8+[12]SS7!$C$10</f>
        <v>3733761.4799999995</v>
      </c>
      <c r="C38" s="108">
        <f>B38*(1+Assumptions!C50+Assumptions!C38)</f>
        <v>3827105.517</v>
      </c>
      <c r="D38" s="108">
        <f>C38*(1+Assumptions!D50+Assumptions!D38)</f>
        <v>3922783.1549250004</v>
      </c>
      <c r="E38" s="108">
        <f>D38*(1+Assumptions!E50+Assumptions!E38)</f>
        <v>4020852.7337981258</v>
      </c>
      <c r="F38" s="108">
        <f>E38*(1+Assumptions!F50+Assumptions!F38)</f>
        <v>4121374.0521430792</v>
      </c>
      <c r="G38" s="108">
        <f>F38*(1+Assumptions!G50+Assumptions!G38)</f>
        <v>4224408.4034466567</v>
      </c>
      <c r="H38" s="108">
        <f>G38*(1+Assumptions!H50+Assumptions!H38)</f>
        <v>4330018.6135328235</v>
      </c>
      <c r="I38" s="108">
        <f>H38*(1+Assumptions!I50+Assumptions!I38)</f>
        <v>4438269.0788711449</v>
      </c>
      <c r="J38" s="108">
        <f>I38*(1+Assumptions!J50+Assumptions!J38)</f>
        <v>4549225.8058429239</v>
      </c>
      <c r="K38" s="108">
        <f>J38*(1+Assumptions!K50+Assumptions!K38)</f>
        <v>4662956.4509889977</v>
      </c>
      <c r="L38" s="108">
        <f>K38*(1+Assumptions!L50+Assumptions!L38)</f>
        <v>4779530.3622637233</v>
      </c>
    </row>
    <row r="39" spans="1:12" x14ac:dyDescent="0.25">
      <c r="A39" s="93" t="s">
        <v>1080</v>
      </c>
      <c r="B39" s="108">
        <f>[12]SS7!$C$9</f>
        <v>536441.47</v>
      </c>
      <c r="C39" s="108">
        <f>B39*(1+Assumptions!C50+Assumptions!C38)</f>
        <v>549852.50675000006</v>
      </c>
      <c r="D39" s="108">
        <f>C39*(1+Assumptions!D50+Assumptions!D38)</f>
        <v>563598.81941875012</v>
      </c>
      <c r="E39" s="108">
        <f>D39*(1+Assumptions!E50+Assumptions!E38)</f>
        <v>577688.78990421898</v>
      </c>
      <c r="F39" s="108">
        <f>E39*(1+Assumptions!F50+Assumptions!F38)</f>
        <v>592131.00965182448</v>
      </c>
      <c r="G39" s="108">
        <f>F39*(1+Assumptions!G50+Assumptions!G38)</f>
        <v>606934.28489312017</v>
      </c>
      <c r="H39" s="108">
        <f>G39*(1+Assumptions!H50+Assumptions!H38)</f>
        <v>622107.64201544831</v>
      </c>
      <c r="I39" s="108">
        <f>H39*(1+Assumptions!I50+Assumptions!I38)</f>
        <v>637660.33306583459</v>
      </c>
      <c r="J39" s="108">
        <f>I39*(1+Assumptions!J50+Assumptions!J38)</f>
        <v>653601.84139248054</v>
      </c>
      <c r="K39" s="108">
        <f>J39*(1+Assumptions!K50+Assumptions!K38)</f>
        <v>669941.88742729265</v>
      </c>
      <c r="L39" s="108">
        <f>K39*(1+Assumptions!L50+Assumptions!L38)</f>
        <v>686690.43461297511</v>
      </c>
    </row>
    <row r="40" spans="1:12" x14ac:dyDescent="0.25">
      <c r="A40" s="93" t="s">
        <v>1081</v>
      </c>
      <c r="B40" s="108">
        <f>[12]SS7!$C$14</f>
        <v>872037.1</v>
      </c>
      <c r="C40" s="108">
        <f>B40*(1+Assumptions!C50+Assumptions!C38)</f>
        <v>893838.02750000008</v>
      </c>
      <c r="D40" s="108">
        <f>C40*(1+Assumptions!D50+Assumptions!D38)</f>
        <v>916183.97818750015</v>
      </c>
      <c r="E40" s="108">
        <f>D40*(1+Assumptions!E50+Assumptions!E38)</f>
        <v>939088.57764218783</v>
      </c>
      <c r="F40" s="108">
        <f>E40*(1+Assumptions!F50+Assumptions!F38)</f>
        <v>962565.79208324268</v>
      </c>
      <c r="G40" s="108">
        <f>F40*(1+Assumptions!G50+Assumptions!G38)</f>
        <v>986629.93688532384</v>
      </c>
      <c r="H40" s="108">
        <f>G40*(1+Assumptions!H50+Assumptions!H38)</f>
        <v>1011295.6853074571</v>
      </c>
      <c r="I40" s="108">
        <f>H40*(1+Assumptions!I50+Assumptions!I38)</f>
        <v>1036578.0774401437</v>
      </c>
      <c r="J40" s="108">
        <f>I40*(1+Assumptions!J50+Assumptions!J38)</f>
        <v>1062492.5293761473</v>
      </c>
      <c r="K40" s="108">
        <f>J40*(1+Assumptions!K50+Assumptions!K38)</f>
        <v>1089054.842610551</v>
      </c>
      <c r="L40" s="108">
        <f>K40*(1+Assumptions!L50+Assumptions!L38)</f>
        <v>1116281.2136758149</v>
      </c>
    </row>
    <row r="41" spans="1:12" x14ac:dyDescent="0.25">
      <c r="A41" s="93" t="s">
        <v>1082</v>
      </c>
      <c r="B41" s="108">
        <f>[12]SS7!$C$16</f>
        <v>0</v>
      </c>
      <c r="C41" s="108">
        <f>B41*(1+Assumptions!C50+Assumptions!C38)</f>
        <v>0</v>
      </c>
      <c r="D41" s="108">
        <f>C41*(1+Assumptions!D50+Assumptions!D38)</f>
        <v>0</v>
      </c>
      <c r="E41" s="108">
        <f>D41*(1+Assumptions!E50+Assumptions!E38)</f>
        <v>0</v>
      </c>
      <c r="F41" s="108">
        <f>E41*(1+Assumptions!F50+Assumptions!F38)</f>
        <v>0</v>
      </c>
      <c r="G41" s="108">
        <f>F41*(1+Assumptions!G50+Assumptions!G38)</f>
        <v>0</v>
      </c>
      <c r="H41" s="108">
        <f>G41*(1+Assumptions!H50+Assumptions!H38)</f>
        <v>0</v>
      </c>
      <c r="I41" s="108">
        <f>H41*(1+Assumptions!I50+Assumptions!I38)</f>
        <v>0</v>
      </c>
      <c r="J41" s="108">
        <f>I41*(1+Assumptions!J50+Assumptions!J38)</f>
        <v>0</v>
      </c>
      <c r="K41" s="108">
        <f>J41*(1+Assumptions!K50+Assumptions!K38)</f>
        <v>0</v>
      </c>
      <c r="L41" s="108">
        <f>K41*(1+Assumptions!L50+Assumptions!L38)</f>
        <v>0</v>
      </c>
    </row>
    <row r="42" spans="1:12" x14ac:dyDescent="0.25">
      <c r="A42" s="93" t="s">
        <v>1083</v>
      </c>
      <c r="B42" s="108">
        <f>[12]SS7!$C$17</f>
        <v>757245.75</v>
      </c>
      <c r="C42" s="108">
        <f>B42*(1+Assumptions!C50+Assumptions!C38)</f>
        <v>776176.89375000005</v>
      </c>
      <c r="D42" s="108">
        <f>C42*(1+Assumptions!D50+Assumptions!D38)</f>
        <v>795581.31609375018</v>
      </c>
      <c r="E42" s="108">
        <f>D42*(1+Assumptions!E50+Assumptions!E38)</f>
        <v>815470.84899609408</v>
      </c>
      <c r="F42" s="108">
        <f>E42*(1+Assumptions!F50+Assumptions!F38)</f>
        <v>835857.62022099656</v>
      </c>
      <c r="G42" s="108">
        <f>F42*(1+Assumptions!G50+Assumptions!G38)</f>
        <v>856754.06072652154</v>
      </c>
      <c r="H42" s="108">
        <f>G42*(1+Assumptions!H50+Assumptions!H38)</f>
        <v>878172.91224468464</v>
      </c>
      <c r="I42" s="108">
        <f>H42*(1+Assumptions!I50+Assumptions!I38)</f>
        <v>900127.23505080189</v>
      </c>
      <c r="J42" s="108">
        <f>I42*(1+Assumptions!J50+Assumptions!J38)</f>
        <v>922630.41592707206</v>
      </c>
      <c r="K42" s="108">
        <f>J42*(1+Assumptions!K50+Assumptions!K38)</f>
        <v>945696.17632524902</v>
      </c>
      <c r="L42" s="108">
        <f>K42*(1+Assumptions!L50+Assumptions!L38)</f>
        <v>969338.5807333804</v>
      </c>
    </row>
    <row r="43" spans="1:12" x14ac:dyDescent="0.25">
      <c r="A43" s="93" t="s">
        <v>1095</v>
      </c>
      <c r="B43" s="108">
        <f>[12]SS7!$C$6</f>
        <v>479646.75</v>
      </c>
      <c r="C43" s="108">
        <f>B43*(1+Assumptions!C50+Assumptions!C38)</f>
        <v>491637.91875000007</v>
      </c>
      <c r="D43" s="108">
        <f>C43*(1+Assumptions!D50+Assumptions!D38)</f>
        <v>503928.86671875016</v>
      </c>
      <c r="E43" s="108">
        <f>D43*(1+Assumptions!E50+Assumptions!E38)</f>
        <v>516527.088386719</v>
      </c>
      <c r="F43" s="108">
        <f>E43*(1+Assumptions!F50+Assumptions!F38)</f>
        <v>529440.26559638709</v>
      </c>
      <c r="G43" s="108">
        <f>F43*(1+Assumptions!G50+Assumptions!G38)</f>
        <v>542676.27223629679</v>
      </c>
      <c r="H43" s="108">
        <f>G43*(1+Assumptions!H50+Assumptions!H38)</f>
        <v>556243.17904220428</v>
      </c>
      <c r="I43" s="108">
        <f>H43*(1+Assumptions!I50+Assumptions!I38)</f>
        <v>570149.25851825951</v>
      </c>
      <c r="J43" s="108">
        <f>I43*(1+Assumptions!J50+Assumptions!J38)</f>
        <v>584402.98998121603</v>
      </c>
      <c r="K43" s="108">
        <f>J43*(1+Assumptions!K50+Assumptions!K38)</f>
        <v>599013.06473074656</v>
      </c>
      <c r="L43" s="108">
        <f>K43*(1+Assumptions!L50+Assumptions!L38)</f>
        <v>613988.39134901529</v>
      </c>
    </row>
    <row r="44" spans="1:12" x14ac:dyDescent="0.25">
      <c r="A44" s="93" t="s">
        <v>1096</v>
      </c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</row>
    <row r="45" spans="1:1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 x14ac:dyDescent="0.25">
      <c r="A46" s="3" t="s">
        <v>1009</v>
      </c>
      <c r="B46" s="123">
        <f>SUM(B47:B54)</f>
        <v>1037818711.507708</v>
      </c>
      <c r="C46" s="123">
        <f t="shared" ref="C46:L46" si="6">SUM(C47:C54)</f>
        <v>1102865865.5848656</v>
      </c>
      <c r="D46" s="123">
        <f t="shared" si="6"/>
        <v>1141413349.4183316</v>
      </c>
      <c r="E46" s="123">
        <f t="shared" si="6"/>
        <v>1179792034.4235382</v>
      </c>
      <c r="F46" s="123">
        <f t="shared" si="6"/>
        <v>1218444034.1840861</v>
      </c>
      <c r="G46" s="123">
        <f t="shared" si="6"/>
        <v>1257820031.1481326</v>
      </c>
      <c r="H46" s="123">
        <f t="shared" si="6"/>
        <v>1295970992.044035</v>
      </c>
      <c r="I46" s="123">
        <f t="shared" si="6"/>
        <v>1335875411.2955756</v>
      </c>
      <c r="J46" s="123">
        <f t="shared" si="6"/>
        <v>1375195655.1867325</v>
      </c>
      <c r="K46" s="123">
        <f t="shared" si="6"/>
        <v>1414122968.089597</v>
      </c>
      <c r="L46" s="123">
        <f t="shared" si="6"/>
        <v>1455608069.9248614</v>
      </c>
    </row>
    <row r="47" spans="1:12" x14ac:dyDescent="0.25">
      <c r="A47" s="6" t="s">
        <v>1190</v>
      </c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</row>
    <row r="48" spans="1:12" x14ac:dyDescent="0.25">
      <c r="A48" s="93" t="s">
        <v>1079</v>
      </c>
      <c r="B48" s="108">
        <f>'Note 9'!C142</f>
        <v>526277283.00931865</v>
      </c>
      <c r="C48" s="108">
        <f>'Note 9'!D142</f>
        <v>542569398.26508284</v>
      </c>
      <c r="D48" s="108">
        <f>'Note 9'!E142</f>
        <v>559388661.9327935</v>
      </c>
      <c r="E48" s="108">
        <f>'Note 9'!F142</f>
        <v>574899782.24019623</v>
      </c>
      <c r="F48" s="108">
        <f>'Note 9'!G142</f>
        <v>590757747.08448195</v>
      </c>
      <c r="G48" s="108">
        <f>'Note 9'!H142</f>
        <v>606969095.93788671</v>
      </c>
      <c r="H48" s="108">
        <f>'Note 9'!I142</f>
        <v>623070443.70009732</v>
      </c>
      <c r="I48" s="108">
        <f>'Note 9'!J142</f>
        <v>639515993.39506292</v>
      </c>
      <c r="J48" s="108">
        <f>'Note 9'!K142</f>
        <v>656297360.70386648</v>
      </c>
      <c r="K48" s="108">
        <f>'Note 9'!L142</f>
        <v>673419898.28894651</v>
      </c>
      <c r="L48" s="108">
        <f>'Note 9'!M142</f>
        <v>690888980.81244326</v>
      </c>
    </row>
    <row r="49" spans="1:13" x14ac:dyDescent="0.25">
      <c r="A49" s="93" t="s">
        <v>1080</v>
      </c>
      <c r="B49" s="108">
        <f>'Note 9'!C158</f>
        <v>83761468.017600089</v>
      </c>
      <c r="C49" s="108">
        <f>'Note 9'!D158</f>
        <v>88376052.694399357</v>
      </c>
      <c r="D49" s="108">
        <f>'Note 9'!E158</f>
        <v>94142299.856550425</v>
      </c>
      <c r="E49" s="108">
        <f>'Note 9'!F158</f>
        <v>98421432.83369264</v>
      </c>
      <c r="F49" s="108">
        <f>'Note 9'!G158</f>
        <v>102229632.65384786</v>
      </c>
      <c r="G49" s="108">
        <f>'Note 9'!H158</f>
        <v>106124410.40602064</v>
      </c>
      <c r="H49" s="108">
        <f>'Note 9'!I158</f>
        <v>110107087.9473723</v>
      </c>
      <c r="I49" s="108">
        <f>'Note 9'!J158</f>
        <v>114648979.42165163</v>
      </c>
      <c r="J49" s="108">
        <f>'Note 9'!K158</f>
        <v>118629939.45500097</v>
      </c>
      <c r="K49" s="108">
        <f>'Note 9'!L158</f>
        <v>122606124.9990758</v>
      </c>
      <c r="L49" s="108">
        <f>'Note 9'!M158</f>
        <v>127141489.91072783</v>
      </c>
    </row>
    <row r="50" spans="1:13" x14ac:dyDescent="0.25">
      <c r="A50" s="93" t="s">
        <v>1081</v>
      </c>
      <c r="B50" s="108">
        <f>'Note 9'!C174</f>
        <v>193947674.38887763</v>
      </c>
      <c r="C50" s="108">
        <f>'Note 9'!D174</f>
        <v>198298592.64314231</v>
      </c>
      <c r="D50" s="108">
        <f>'Note 9'!E174</f>
        <v>202751320.47253016</v>
      </c>
      <c r="E50" s="108">
        <f>'Note 9'!F174</f>
        <v>207510366.37185219</v>
      </c>
      <c r="F50" s="108">
        <f>'Note 9'!G174</f>
        <v>212541468.57333153</v>
      </c>
      <c r="G50" s="108">
        <f>'Note 9'!H174</f>
        <v>217548442.2956782</v>
      </c>
      <c r="H50" s="108">
        <f>'Note 9'!I174</f>
        <v>221890169.19876039</v>
      </c>
      <c r="I50" s="108">
        <f>'Note 9'!J174</f>
        <v>226593735.67791134</v>
      </c>
      <c r="J50" s="108">
        <f>'Note 9'!K174</f>
        <v>231264343.65194654</v>
      </c>
      <c r="K50" s="108">
        <f>'Note 9'!L174</f>
        <v>235400624.2580086</v>
      </c>
      <c r="L50" s="108">
        <f>'Note 9'!M174</f>
        <v>240292905.90420026</v>
      </c>
    </row>
    <row r="51" spans="1:13" x14ac:dyDescent="0.25">
      <c r="A51" s="93" t="s">
        <v>1082</v>
      </c>
      <c r="B51" s="108">
        <f>'Note 9'!C190</f>
        <v>1811052.7875999999</v>
      </c>
      <c r="C51" s="108">
        <f>'Note 9'!D190</f>
        <v>1805618.9450064795</v>
      </c>
      <c r="D51" s="108">
        <f>'Note 9'!E190</f>
        <v>1798781.5022910335</v>
      </c>
      <c r="E51" s="108">
        <f>'Note 9'!F190</f>
        <v>1790473.6755991857</v>
      </c>
      <c r="F51" s="108">
        <f>'Note 9'!G190</f>
        <v>1780626.2191338143</v>
      </c>
      <c r="G51" s="108">
        <f>'Note 9'!H190</f>
        <v>1769167.3437979249</v>
      </c>
      <c r="H51" s="108">
        <f>'Note 9'!I190</f>
        <v>1756022.6333082821</v>
      </c>
      <c r="I51" s="108">
        <f>'Note 9'!J190</f>
        <v>1741114.9577042828</v>
      </c>
      <c r="J51" s="108">
        <f>'Note 9'!K190</f>
        <v>1724364.3841742664</v>
      </c>
      <c r="K51" s="108">
        <f>'Note 9'!L190</f>
        <v>1705688.0851191841</v>
      </c>
      <c r="L51" s="108">
        <f>'Note 9'!M190</f>
        <v>1685000.2433712394</v>
      </c>
    </row>
    <row r="52" spans="1:13" x14ac:dyDescent="0.25">
      <c r="A52" s="93" t="s">
        <v>1083</v>
      </c>
      <c r="B52" s="108">
        <f>'Note 9'!C206</f>
        <v>78180490.119830102</v>
      </c>
      <c r="C52" s="108">
        <f>'Note 9'!D206</f>
        <v>83345591.69220829</v>
      </c>
      <c r="D52" s="108">
        <f>'Note 9'!E206</f>
        <v>88337710.281386033</v>
      </c>
      <c r="E52" s="108">
        <f>'Note 9'!F206</f>
        <v>94807408.902127206</v>
      </c>
      <c r="F52" s="108">
        <f>'Note 9'!G206</f>
        <v>101431063.26777665</v>
      </c>
      <c r="G52" s="108">
        <f>'Note 9'!H206</f>
        <v>108210267.267012</v>
      </c>
      <c r="H52" s="108">
        <f>'Note 9'!I206</f>
        <v>114206533.66707134</v>
      </c>
      <c r="I52" s="108">
        <f>'Note 9'!J206</f>
        <v>120853787.12128927</v>
      </c>
      <c r="J52" s="108">
        <f>'Note 9'!K206</f>
        <v>127656069.32110676</v>
      </c>
      <c r="K52" s="108">
        <f>'Note 9'!L206</f>
        <v>134114646.59003201</v>
      </c>
      <c r="L52" s="108">
        <f>'Note 9'!M206</f>
        <v>141228178.97426742</v>
      </c>
    </row>
    <row r="53" spans="1:13" x14ac:dyDescent="0.25">
      <c r="A53" s="62" t="s">
        <v>1078</v>
      </c>
      <c r="B53" s="108">
        <f>'Note 9'!C126</f>
        <v>153840743.18448138</v>
      </c>
      <c r="C53" s="108">
        <f>'Note 9'!D126</f>
        <v>188470611.34502637</v>
      </c>
      <c r="D53" s="108">
        <f>'Note 9'!E126</f>
        <v>194994575.37278056</v>
      </c>
      <c r="E53" s="108">
        <f>'Note 9'!F126</f>
        <v>202362570.4000707</v>
      </c>
      <c r="F53" s="108">
        <f>'Note 9'!G126</f>
        <v>209703496.38551444</v>
      </c>
      <c r="G53" s="108">
        <f>'Note 9'!H126</f>
        <v>217198647.89773715</v>
      </c>
      <c r="H53" s="108">
        <f>'Note 9'!I126</f>
        <v>224940734.89742541</v>
      </c>
      <c r="I53" s="108">
        <f>'Note 9'!J126</f>
        <v>232521800.72195619</v>
      </c>
      <c r="J53" s="108">
        <f>'Note 9'!K126</f>
        <v>239623577.67063752</v>
      </c>
      <c r="K53" s="108">
        <f>'Note 9'!L126</f>
        <v>246875985.86841479</v>
      </c>
      <c r="L53" s="108">
        <f>'Note 9'!M126</f>
        <v>254371514.07985133</v>
      </c>
    </row>
    <row r="54" spans="1:13" x14ac:dyDescent="0.25">
      <c r="A54" s="6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</row>
    <row r="56" spans="1:13" x14ac:dyDescent="0.25">
      <c r="A56" s="100" t="s">
        <v>1097</v>
      </c>
    </row>
    <row r="57" spans="1:13" x14ac:dyDescent="0.25">
      <c r="A57" s="115" t="s">
        <v>1098</v>
      </c>
      <c r="B57" s="124">
        <f>B61/B63</f>
        <v>1.5478510710115174</v>
      </c>
      <c r="C57" s="124">
        <f t="shared" ref="C57:L57" si="7">C61/C63</f>
        <v>1.4653552390176532</v>
      </c>
      <c r="D57" s="124">
        <f t="shared" si="7"/>
        <v>1.4668511253925418</v>
      </c>
      <c r="E57" s="124">
        <f t="shared" si="7"/>
        <v>1.4683672194402666</v>
      </c>
      <c r="F57" s="124">
        <f t="shared" si="7"/>
        <v>1.4746951110868975</v>
      </c>
      <c r="G57" s="124">
        <f t="shared" si="7"/>
        <v>1.481102367177991</v>
      </c>
      <c r="H57" s="124">
        <f t="shared" si="7"/>
        <v>1.4875893277891077</v>
      </c>
      <c r="I57" s="124">
        <f t="shared" si="7"/>
        <v>1.4941563178068826</v>
      </c>
      <c r="J57" s="124">
        <f t="shared" si="7"/>
        <v>1.5008036473093485</v>
      </c>
      <c r="K57" s="124">
        <f t="shared" si="7"/>
        <v>1.5025943199107537</v>
      </c>
      <c r="L57" s="124">
        <f t="shared" si="7"/>
        <v>1.4955580239540016</v>
      </c>
    </row>
    <row r="58" spans="1:13" x14ac:dyDescent="0.25">
      <c r="A58" s="50" t="s">
        <v>1099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</row>
    <row r="59" spans="1:13" x14ac:dyDescent="0.25">
      <c r="A59" s="44"/>
      <c r="B59" s="162">
        <f>'Note 4 to 5'!C11+'Note 4 to 5'!C13+'Note 4 to 5'!C14+'Note 4 to 5'!C15+'Note 4 to 5'!C29</f>
        <v>66678367.766044669</v>
      </c>
      <c r="C59" s="162">
        <f>'Note 4 to 5'!D11+'Note 4 to 5'!D13+'Note 4 to 5'!D14+'Note 4 to 5'!D15+'Note 4 to 5'!D29</f>
        <v>69078807.150834233</v>
      </c>
      <c r="D59" s="162">
        <f>'Note 4 to 5'!E11+'Note 4 to 5'!E13+'Note 4 to 5'!E14+'Note 4 to 5'!E15+'Note 4 to 5'!E29</f>
        <v>71517347.632828385</v>
      </c>
      <c r="E59" s="162">
        <f>'Note 4 to 5'!F11+'Note 4 to 5'!F13+'Note 4 to 5'!F14+'Note 4 to 5'!F15+'Note 4 to 5'!F29</f>
        <v>74045734.073395461</v>
      </c>
      <c r="F59" s="162">
        <f>'Note 4 to 5'!G11+'Note 4 to 5'!G13+'Note 4 to 5'!G14+'Note 4 to 5'!G15+'Note 4 to 5'!G29</f>
        <v>76917285.766294584</v>
      </c>
      <c r="G59" s="162">
        <f>'Note 4 to 5'!H11+'Note 4 to 5'!H13+'Note 4 to 5'!H14+'Note 4 to 5'!H15+'Note 4 to 5'!H29</f>
        <v>79905979.826841861</v>
      </c>
      <c r="H59" s="162">
        <f>'Note 4 to 5'!I11+'Note 4 to 5'!I13+'Note 4 to 5'!I14+'Note 4 to 5'!I15+'Note 4 to 5'!I29</f>
        <v>83016746.066657171</v>
      </c>
      <c r="I59" s="162">
        <f>'Note 4 to 5'!J11+'Note 4 to 5'!J13+'Note 4 to 5'!J14+'Note 4 to 5'!J15+'Note 4 to 5'!J29</f>
        <v>86254725.307406336</v>
      </c>
      <c r="J59" s="162">
        <f>'Note 4 to 5'!K11+'Note 4 to 5'!K13+'Note 4 to 5'!K14+'Note 4 to 5'!K15+'Note 4 to 5'!K29</f>
        <v>89625278.4846645</v>
      </c>
      <c r="K59" s="162">
        <f>'Note 4 to 5'!L11+'Note 4 to 5'!L13+'Note 4 to 5'!L14+'Note 4 to 5'!L15+'Note 4 to 5'!L29</f>
        <v>92828974.524179727</v>
      </c>
      <c r="L59" s="162">
        <f>'Note 4 to 5'!M11+'Note 4 to 5'!M13+'Note 4 to 5'!M14+'Note 4 to 5'!M15+'Note 4 to 5'!M29</f>
        <v>96151855.304843083</v>
      </c>
      <c r="M59" s="164" t="s">
        <v>1196</v>
      </c>
    </row>
    <row r="60" spans="1:13" x14ac:dyDescent="0.25">
      <c r="A60" s="3" t="s">
        <v>1004</v>
      </c>
      <c r="B60" s="163">
        <v>0.16</v>
      </c>
      <c r="C60" s="163">
        <v>0.161</v>
      </c>
      <c r="D60" s="163">
        <v>0.16200000000000001</v>
      </c>
      <c r="E60" s="163">
        <v>0.16300000000000001</v>
      </c>
      <c r="F60" s="163">
        <v>0.16400000000000001</v>
      </c>
      <c r="G60" s="163">
        <v>0.16500000000000001</v>
      </c>
      <c r="H60" s="163">
        <v>0.16600000000000001</v>
      </c>
      <c r="I60" s="163">
        <v>0.16700000000000001</v>
      </c>
      <c r="J60" s="163">
        <v>0.16800000000000001</v>
      </c>
      <c r="K60" s="163">
        <v>0.16900000000000001</v>
      </c>
      <c r="L60" s="163">
        <v>0.16900000000000001</v>
      </c>
      <c r="M60" s="164" t="s">
        <v>1197</v>
      </c>
    </row>
    <row r="61" spans="1:13" x14ac:dyDescent="0.25">
      <c r="A61" s="6" t="s">
        <v>1098</v>
      </c>
      <c r="B61" s="108">
        <f>[12]SS7!$F$20</f>
        <v>11288711.261349998</v>
      </c>
      <c r="C61" s="108">
        <f>C59*C60</f>
        <v>11121687.951284312</v>
      </c>
      <c r="D61" s="108">
        <f t="shared" ref="D61:L61" si="8">D59*D60</f>
        <v>11585810.316518199</v>
      </c>
      <c r="E61" s="108">
        <f t="shared" si="8"/>
        <v>12069454.65396346</v>
      </c>
      <c r="F61" s="108">
        <f t="shared" si="8"/>
        <v>12614434.865672313</v>
      </c>
      <c r="G61" s="108">
        <f t="shared" si="8"/>
        <v>13184486.671428908</v>
      </c>
      <c r="H61" s="108">
        <f t="shared" si="8"/>
        <v>13780779.847065091</v>
      </c>
      <c r="I61" s="108">
        <f t="shared" si="8"/>
        <v>14404539.12633686</v>
      </c>
      <c r="J61" s="108">
        <f t="shared" si="8"/>
        <v>15057046.785423636</v>
      </c>
      <c r="K61" s="108">
        <f t="shared" si="8"/>
        <v>15688096.694586376</v>
      </c>
      <c r="L61" s="108">
        <f t="shared" si="8"/>
        <v>16249663.546518482</v>
      </c>
    </row>
    <row r="62" spans="1:13" x14ac:dyDescent="0.25">
      <c r="A62" s="6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</row>
    <row r="63" spans="1:13" x14ac:dyDescent="0.25">
      <c r="A63" s="3" t="s">
        <v>1009</v>
      </c>
      <c r="B63" s="123">
        <f>SUM(B65:B71)</f>
        <v>7293150.7900000028</v>
      </c>
      <c r="C63" s="123">
        <f t="shared" ref="C63:L63" si="9">SUM(C65:C71)</f>
        <v>7589755.4771360997</v>
      </c>
      <c r="D63" s="123">
        <f t="shared" si="9"/>
        <v>7898422.761490358</v>
      </c>
      <c r="E63" s="123">
        <f t="shared" si="9"/>
        <v>8219643.2160643497</v>
      </c>
      <c r="F63" s="123">
        <f t="shared" si="9"/>
        <v>8553927.3649419434</v>
      </c>
      <c r="G63" s="123">
        <f t="shared" si="9"/>
        <v>8901806.4946786128</v>
      </c>
      <c r="H63" s="123">
        <f t="shared" si="9"/>
        <v>9263833.4986890703</v>
      </c>
      <c r="I63" s="123">
        <f t="shared" si="9"/>
        <v>9640583.7559752725</v>
      </c>
      <c r="J63" s="123">
        <f t="shared" si="9"/>
        <v>10032656.045591319</v>
      </c>
      <c r="K63" s="123">
        <f t="shared" si="9"/>
        <v>10440673.498298708</v>
      </c>
      <c r="L63" s="123">
        <f t="shared" si="9"/>
        <v>10865284.58692437</v>
      </c>
    </row>
    <row r="64" spans="1:13" x14ac:dyDescent="0.25">
      <c r="A64" s="6" t="s">
        <v>1099</v>
      </c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</row>
    <row r="65" spans="1:12" x14ac:dyDescent="0.25">
      <c r="A65" s="93" t="s">
        <v>1079</v>
      </c>
      <c r="B65" s="108">
        <f>[12]SS7!$E$8+[12]SS7!$E$10</f>
        <v>2489211.0200000019</v>
      </c>
      <c r="C65" s="108">
        <f>B65*(1+Assumptions!C36+Assumptions!C38)</f>
        <v>2590444.5851711975</v>
      </c>
      <c r="D65" s="108">
        <f>C65*(1+Assumptions!D36+Assumptions!D38)</f>
        <v>2695795.2117867344</v>
      </c>
      <c r="E65" s="108">
        <f>D65*(1+Assumptions!E36+Assumptions!E38)</f>
        <v>2805430.3363574948</v>
      </c>
      <c r="F65" s="108">
        <f>E65*(1+Assumptions!F36+Assumptions!F38)</f>
        <v>2919524.2048592083</v>
      </c>
      <c r="G65" s="108">
        <f>F65*(1+Assumptions!G36+Assumptions!G38)</f>
        <v>3038258.149666145</v>
      </c>
      <c r="H65" s="108">
        <f>G65*(1+Assumptions!H36+Assumptions!H38)</f>
        <v>3161820.8777474081</v>
      </c>
      <c r="I65" s="108">
        <f>H65*(1+Assumptions!I36+Assumptions!I38)</f>
        <v>3290408.7705838657</v>
      </c>
      <c r="J65" s="108">
        <f>I65*(1+Assumptions!J36+Assumptions!J38)</f>
        <v>3424226.1962823812</v>
      </c>
      <c r="K65" s="108">
        <f>J65*(1+Assumptions!K36+Assumptions!K38)</f>
        <v>3563485.8343834002</v>
      </c>
      <c r="L65" s="108">
        <f>K65*(1+Assumptions!L36+Assumptions!L38)</f>
        <v>3708409.0138781159</v>
      </c>
    </row>
    <row r="66" spans="1:12" x14ac:dyDescent="0.25">
      <c r="A66" s="93" t="s">
        <v>1080</v>
      </c>
      <c r="B66" s="108">
        <f>[12]SS7!$E$9</f>
        <v>596006.89000000106</v>
      </c>
      <c r="C66" s="108">
        <f>B66*(1+Assumptions!C36+Assumptions!C38)</f>
        <v>620245.85642611654</v>
      </c>
      <c r="D66" s="108">
        <f>C66*(1+Assumptions!D36+Assumptions!D38)</f>
        <v>645470.5958412094</v>
      </c>
      <c r="E66" s="108">
        <f>D66*(1+Assumptions!E36+Assumptions!E38)</f>
        <v>671721.19858447602</v>
      </c>
      <c r="F66" s="108">
        <f>E66*(1+Assumptions!F36+Assumptions!F38)</f>
        <v>699039.38542657637</v>
      </c>
      <c r="G66" s="108">
        <f>F66*(1+Assumptions!G36+Assumptions!G38)</f>
        <v>727468.5738775474</v>
      </c>
      <c r="H66" s="108">
        <f>G66*(1+Assumptions!H36+Assumptions!H38)</f>
        <v>757053.94719138939</v>
      </c>
      <c r="I66" s="108">
        <f>H66*(1+Assumptions!I36+Assumptions!I38)</f>
        <v>787842.52617699525</v>
      </c>
      <c r="J66" s="108">
        <f>I66*(1+Assumptions!J36+Assumptions!J38)</f>
        <v>819883.24392955378</v>
      </c>
      <c r="K66" s="108">
        <f>J66*(1+Assumptions!K36+Assumptions!K38)</f>
        <v>853227.02360120008</v>
      </c>
      <c r="L66" s="108">
        <f>K66*(1+Assumptions!L36+Assumptions!L38)</f>
        <v>887926.85933451506</v>
      </c>
    </row>
    <row r="67" spans="1:12" x14ac:dyDescent="0.25">
      <c r="A67" s="93" t="s">
        <v>1081</v>
      </c>
      <c r="B67" s="108">
        <f>[12]SS7!$E$14</f>
        <v>1049361.9099999999</v>
      </c>
      <c r="C67" s="108">
        <f>B67*(1+Assumptions!C36+Assumptions!C38)</f>
        <v>1092038.3429944816</v>
      </c>
      <c r="D67" s="108">
        <f>C67*(1+Assumptions!D36+Assumptions!D38)</f>
        <v>1136450.3811369836</v>
      </c>
      <c r="E67" s="108">
        <f>D67*(1+Assumptions!E36+Assumptions!E38)</f>
        <v>1182668.6096432437</v>
      </c>
      <c r="F67" s="108">
        <f>E67*(1+Assumptions!F36+Assumptions!F38)</f>
        <v>1230766.4843546641</v>
      </c>
      <c r="G67" s="108">
        <f>F67*(1+Assumptions!G36+Assumptions!G38)</f>
        <v>1280820.4484836038</v>
      </c>
      <c r="H67" s="108">
        <f>G67*(1+Assumptions!H36+Assumptions!H38)</f>
        <v>1332910.0541065794</v>
      </c>
      <c r="I67" s="108">
        <f>H67*(1+Assumptions!I36+Assumptions!I38)</f>
        <v>1387118.0885984644</v>
      </c>
      <c r="J67" s="108">
        <f>I67*(1+Assumptions!J36+Assumptions!J38)</f>
        <v>1443530.7062086328</v>
      </c>
      <c r="K67" s="108">
        <f>J67*(1+Assumptions!K36+Assumptions!K38)</f>
        <v>1502237.5649881645</v>
      </c>
      <c r="L67" s="108">
        <f>K67*(1+Assumptions!L36+Assumptions!L38)</f>
        <v>1563331.9692857349</v>
      </c>
    </row>
    <row r="68" spans="1:12" x14ac:dyDescent="0.25">
      <c r="A68" s="93" t="s">
        <v>1082</v>
      </c>
      <c r="B68" s="108">
        <f>[12]SS7!$E$16</f>
        <v>71529.659999999989</v>
      </c>
      <c r="C68" s="108">
        <f>B68*(1+Assumptions!C36+Assumptions!C38)</f>
        <v>74438.695207984667</v>
      </c>
      <c r="D68" s="108">
        <f>C68*(1+Assumptions!D36+Assumptions!D38)</f>
        <v>77466.037784427332</v>
      </c>
      <c r="E68" s="108">
        <f>D68*(1+Assumptions!E36+Assumptions!E38)</f>
        <v>80616.499164195819</v>
      </c>
      <c r="F68" s="108">
        <f>E68*(1+Assumptions!F36+Assumptions!F38)</f>
        <v>83895.08645809759</v>
      </c>
      <c r="G68" s="108">
        <f>F68*(1+Assumptions!G36+Assumptions!G38)</f>
        <v>87307.010410812101</v>
      </c>
      <c r="H68" s="108">
        <f>G68*(1+Assumptions!H36+Assumptions!H38)</f>
        <v>90857.693682463854</v>
      </c>
      <c r="I68" s="108">
        <f>H68*(1+Assumptions!I36+Assumptions!I38)</f>
        <v>94552.779466998196</v>
      </c>
      <c r="J68" s="108">
        <f>I68*(1+Assumptions!J36+Assumptions!J38)</f>
        <v>98398.140461057294</v>
      </c>
      <c r="K68" s="108">
        <f>J68*(1+Assumptions!K36+Assumptions!K38)</f>
        <v>102399.88819761075</v>
      </c>
      <c r="L68" s="108">
        <f>K68*(1+Assumptions!L36+Assumptions!L38)</f>
        <v>106564.38275917507</v>
      </c>
    </row>
    <row r="69" spans="1:12" x14ac:dyDescent="0.25">
      <c r="A69" s="93" t="s">
        <v>1083</v>
      </c>
      <c r="B69" s="108">
        <f>[12]SS7!$E$17</f>
        <v>514218.86</v>
      </c>
      <c r="C69" s="108">
        <f>B69*(1+Assumptions!C36+Assumptions!C38)</f>
        <v>535131.59421892045</v>
      </c>
      <c r="D69" s="108">
        <f>C69*(1+Assumptions!D36+Assumptions!D38)</f>
        <v>556894.82710004714</v>
      </c>
      <c r="E69" s="108">
        <f>D69*(1+Assumptions!E36+Assumptions!E38)</f>
        <v>579543.14751955681</v>
      </c>
      <c r="F69" s="108">
        <f>E69*(1+Assumptions!F36+Assumptions!F38)</f>
        <v>603112.55104643852</v>
      </c>
      <c r="G69" s="108">
        <f>F69*(1+Assumptions!G36+Assumptions!G38)</f>
        <v>627640.49715119496</v>
      </c>
      <c r="H69" s="108">
        <f>G69*(1+Assumptions!H36+Assumptions!H38)</f>
        <v>653165.96874115965</v>
      </c>
      <c r="I69" s="108">
        <f>H69*(1+Assumptions!I36+Assumptions!I38)</f>
        <v>679729.5341170535</v>
      </c>
      <c r="J69" s="108">
        <f>I69*(1+Assumptions!J36+Assumptions!J38)</f>
        <v>707373.41144924739</v>
      </c>
      <c r="K69" s="108">
        <f>J69*(1+Assumptions!K36+Assumptions!K38)</f>
        <v>736141.5358762067</v>
      </c>
      <c r="L69" s="108">
        <f>K69*(1+Assumptions!L36+Assumptions!L38)</f>
        <v>766079.62933175801</v>
      </c>
    </row>
    <row r="70" spans="1:12" x14ac:dyDescent="0.25">
      <c r="A70" s="93" t="s">
        <v>1095</v>
      </c>
      <c r="B70" s="108">
        <f>[12]SS7!$E$6</f>
        <v>2572822.4499999997</v>
      </c>
      <c r="C70" s="108">
        <f>B70*(1+Assumptions!C36+Assumptions!C38)</f>
        <v>2677456.4031173978</v>
      </c>
      <c r="D70" s="108">
        <f>C70*(1+Assumptions!D36+Assumptions!D38)</f>
        <v>2786345.7078409563</v>
      </c>
      <c r="E70" s="108">
        <f>D70*(1+Assumptions!E36+Assumptions!E38)</f>
        <v>2899663.4247953827</v>
      </c>
      <c r="F70" s="108">
        <f>E70*(1+Assumptions!F36+Assumptions!F38)</f>
        <v>3017589.6527969586</v>
      </c>
      <c r="G70" s="108">
        <f>F70*(1+Assumptions!G36+Assumptions!G38)</f>
        <v>3140311.8150893087</v>
      </c>
      <c r="H70" s="108">
        <f>G70*(1+Assumptions!H36+Assumptions!H38)</f>
        <v>3268024.957220071</v>
      </c>
      <c r="I70" s="108">
        <f>H70*(1+Assumptions!I36+Assumptions!I38)</f>
        <v>3400932.057031895</v>
      </c>
      <c r="J70" s="108">
        <f>I70*(1+Assumptions!J36+Assumptions!J38)</f>
        <v>3539244.3472604458</v>
      </c>
      <c r="K70" s="108">
        <f>J70*(1+Assumptions!K36+Assumptions!K38)</f>
        <v>3683181.6512521245</v>
      </c>
      <c r="L70" s="108">
        <f>K70*(1+Assumptions!L36+Assumptions!L38)</f>
        <v>3832972.7323350711</v>
      </c>
    </row>
    <row r="71" spans="1:12" x14ac:dyDescent="0.25">
      <c r="A71" s="93" t="s">
        <v>1096</v>
      </c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</row>
    <row r="73" spans="1:12" x14ac:dyDescent="0.25">
      <c r="A73" s="100" t="s">
        <v>1100</v>
      </c>
    </row>
    <row r="74" spans="1:12" x14ac:dyDescent="0.25">
      <c r="A74" s="115" t="s">
        <v>1101</v>
      </c>
      <c r="B74" s="124">
        <f>B77/B83</f>
        <v>1.3294204355214931</v>
      </c>
      <c r="C74" s="124">
        <f t="shared" ref="C74:L74" si="10">C77/C83</f>
        <v>2.8492794726805237</v>
      </c>
      <c r="D74" s="124">
        <f t="shared" si="10"/>
        <v>1.4539509403322024</v>
      </c>
      <c r="E74" s="124">
        <f t="shared" si="10"/>
        <v>1.4979999788505007</v>
      </c>
      <c r="F74" s="124">
        <f t="shared" si="10"/>
        <v>1.406622357348176</v>
      </c>
      <c r="G74" s="124">
        <f t="shared" si="10"/>
        <v>1.366858085510755</v>
      </c>
      <c r="H74" s="124">
        <f t="shared" si="10"/>
        <v>1.318684453601473</v>
      </c>
      <c r="I74" s="124">
        <f t="shared" si="10"/>
        <v>1.2467417244898842</v>
      </c>
      <c r="J74" s="124">
        <f t="shared" si="10"/>
        <v>1.2572268893485699</v>
      </c>
      <c r="K74" s="124">
        <f t="shared" si="10"/>
        <v>1.2521817906667831</v>
      </c>
      <c r="L74" s="124">
        <f t="shared" si="10"/>
        <v>1.2162103578174512</v>
      </c>
    </row>
    <row r="75" spans="1:12" x14ac:dyDescent="0.25">
      <c r="A75" s="50" t="s">
        <v>1102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</row>
    <row r="76" spans="1:1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</row>
    <row r="77" spans="1:12" x14ac:dyDescent="0.25">
      <c r="A77" s="3" t="s">
        <v>1004</v>
      </c>
      <c r="B77" s="123">
        <f>SUM(B78:B80)</f>
        <v>31279909.497817375</v>
      </c>
      <c r="C77" s="123">
        <f t="shared" ref="C77:L77" si="11">SUM(C78:C80)</f>
        <v>65028404.555137776</v>
      </c>
      <c r="D77" s="123">
        <f t="shared" si="11"/>
        <v>34607492.550339177</v>
      </c>
      <c r="E77" s="123">
        <f t="shared" si="11"/>
        <v>37218741.129537709</v>
      </c>
      <c r="F77" s="123">
        <f t="shared" si="11"/>
        <v>36214111.923355088</v>
      </c>
      <c r="G77" s="123">
        <f t="shared" si="11"/>
        <v>36368477.570020288</v>
      </c>
      <c r="H77" s="123">
        <f t="shared" si="11"/>
        <v>36549634.818376943</v>
      </c>
      <c r="I77" s="123">
        <f t="shared" si="11"/>
        <v>35540177.684017174</v>
      </c>
      <c r="J77" s="123">
        <f t="shared" si="11"/>
        <v>37203527.792117424</v>
      </c>
      <c r="K77" s="123">
        <f t="shared" si="11"/>
        <v>38753720.049372755</v>
      </c>
      <c r="L77" s="123">
        <f t="shared" si="11"/>
        <v>38882108.770349428</v>
      </c>
    </row>
    <row r="78" spans="1:12" x14ac:dyDescent="0.25">
      <c r="A78" s="6" t="s">
        <v>1103</v>
      </c>
      <c r="B78" s="108">
        <f>'Note 9'!C11+'Note 9'!C12</f>
        <v>33874693.057012498</v>
      </c>
      <c r="C78" s="108">
        <f>'Note 9'!D11+'Note 9'!D12</f>
        <v>70057508.874227405</v>
      </c>
      <c r="D78" s="108">
        <f>'Note 9'!E11+'Note 9'!E12</f>
        <v>36976238.35728053</v>
      </c>
      <c r="E78" s="108">
        <f>'Note 9'!F11+'Note 9'!F12</f>
        <v>40876745.322665595</v>
      </c>
      <c r="F78" s="108">
        <f>'Note 9'!G11+'Note 9'!G12</f>
        <v>39298345.604239061</v>
      </c>
      <c r="G78" s="108">
        <f>'Note 9'!H11+'Note 9'!H12</f>
        <v>39404206.203237027</v>
      </c>
      <c r="H78" s="108">
        <f>'Note 9'!I11+'Note 9'!I12</f>
        <v>40083491.318252116</v>
      </c>
      <c r="I78" s="108">
        <f>'Note 9'!J11+'Note 9'!J12</f>
        <v>38584694.566516235</v>
      </c>
      <c r="J78" s="108">
        <f>'Note 9'!K11+'Note 9'!K12</f>
        <v>40414073.378549688</v>
      </c>
      <c r="K78" s="108">
        <f>'Note 9'!L11+'Note 9'!L12</f>
        <v>42757752.713508263</v>
      </c>
      <c r="L78" s="108">
        <f>'Note 9'!M11+'Note 9'!M12</f>
        <v>41943972.241623811</v>
      </c>
    </row>
    <row r="79" spans="1:12" x14ac:dyDescent="0.25">
      <c r="A79" s="6" t="s">
        <v>1005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</row>
    <row r="80" spans="1:12" x14ac:dyDescent="0.25">
      <c r="A80" s="6" t="s">
        <v>1104</v>
      </c>
      <c r="B80" s="108">
        <f>'Note 9'!C15</f>
        <v>-2594783.5591951222</v>
      </c>
      <c r="C80" s="108">
        <f>'Note 9'!D15</f>
        <v>-5029104.3190896288</v>
      </c>
      <c r="D80" s="108">
        <f>'Note 9'!E15</f>
        <v>-2368745.8069413537</v>
      </c>
      <c r="E80" s="108">
        <f>'Note 9'!F15</f>
        <v>-3658004.1931278827</v>
      </c>
      <c r="F80" s="108">
        <f>'Note 9'!G15</f>
        <v>-3084233.6808839766</v>
      </c>
      <c r="G80" s="108">
        <f>'Note 9'!H15</f>
        <v>-3035728.6332167387</v>
      </c>
      <c r="H80" s="108">
        <f>'Note 9'!I15</f>
        <v>-3533856.4998751716</v>
      </c>
      <c r="I80" s="108">
        <f>'Note 9'!J15</f>
        <v>-3044516.8824990601</v>
      </c>
      <c r="J80" s="108">
        <f>'Note 9'!K15</f>
        <v>-3210545.58643226</v>
      </c>
      <c r="K80" s="108">
        <f>'Note 9'!L15</f>
        <v>-4004032.6641355092</v>
      </c>
      <c r="L80" s="108">
        <f>'Note 9'!M15</f>
        <v>-3061863.4712743824</v>
      </c>
    </row>
    <row r="81" spans="1:1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</row>
    <row r="82" spans="1:12" x14ac:dyDescent="0.25">
      <c r="A82" s="3" t="s">
        <v>1009</v>
      </c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</row>
    <row r="83" spans="1:12" x14ac:dyDescent="0.25">
      <c r="A83" s="6" t="s">
        <v>1105</v>
      </c>
      <c r="B83" s="108">
        <f>-'Note 9'!C16</f>
        <v>23528982</v>
      </c>
      <c r="C83" s="108">
        <f>-'Note 9'!D16</f>
        <v>22822754.025585577</v>
      </c>
      <c r="D83" s="108">
        <f>-'Note 9'!E16</f>
        <v>23802379.839880958</v>
      </c>
      <c r="E83" s="108">
        <f>-'Note 9'!F16</f>
        <v>24845621.932583559</v>
      </c>
      <c r="F83" s="108">
        <f>-'Note 9'!G16</f>
        <v>25745440.298295461</v>
      </c>
      <c r="G83" s="108">
        <f>-'Note 9'!H16</f>
        <v>26607354.454380278</v>
      </c>
      <c r="H83" s="108">
        <f>-'Note 9'!I16</f>
        <v>27716740.51252811</v>
      </c>
      <c r="I83" s="108">
        <f>-'Note 9'!J16</f>
        <v>28506447.635382351</v>
      </c>
      <c r="J83" s="108">
        <f>-'Note 9'!K16</f>
        <v>29591737.265016958</v>
      </c>
      <c r="K83" s="108">
        <f>-'Note 9'!L16</f>
        <v>30948956.723557297</v>
      </c>
      <c r="L83" s="108">
        <f>-'Note 9'!M16</f>
        <v>31969887.873776428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42"/>
  <sheetViews>
    <sheetView tabSelected="1" zoomScale="110" zoomScaleNormal="110" workbookViewId="0">
      <pane xSplit="1" ySplit="7" topLeftCell="B8" activePane="bottomRight" state="frozen"/>
      <selection activeCell="B23" sqref="B23"/>
      <selection pane="topRight" activeCell="B23" sqref="B23"/>
      <selection pane="bottomLeft" activeCell="B23" sqref="B23"/>
      <selection pane="bottomRight" activeCell="A24" sqref="A24"/>
    </sheetView>
  </sheetViews>
  <sheetFormatPr defaultRowHeight="15" x14ac:dyDescent="0.25"/>
  <cols>
    <col min="1" max="1" width="57.28515625" customWidth="1"/>
    <col min="2" max="2" width="12.7109375" hidden="1" customWidth="1"/>
    <col min="3" max="12" width="12.7109375" customWidth="1"/>
  </cols>
  <sheetData>
    <row r="1" spans="1:14" ht="21" customHeight="1" x14ac:dyDescent="0.25">
      <c r="A1" s="171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4" ht="21" customHeight="1" x14ac:dyDescent="0.25">
      <c r="A2" s="171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4" ht="18" customHeight="1" x14ac:dyDescent="0.25">
      <c r="A3" s="1" t="s">
        <v>863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4" x14ac:dyDescent="0.25">
      <c r="A5" s="6"/>
      <c r="B5" s="7" t="s">
        <v>7</v>
      </c>
      <c r="C5" s="170" t="s">
        <v>8</v>
      </c>
      <c r="D5" s="170" t="s">
        <v>9</v>
      </c>
      <c r="E5" s="170" t="s">
        <v>10</v>
      </c>
      <c r="F5" s="170" t="s">
        <v>11</v>
      </c>
      <c r="G5" s="170" t="s">
        <v>12</v>
      </c>
      <c r="H5" s="170" t="s">
        <v>13</v>
      </c>
      <c r="I5" s="170" t="s">
        <v>14</v>
      </c>
      <c r="J5" s="170" t="s">
        <v>15</v>
      </c>
      <c r="K5" s="170" t="s">
        <v>16</v>
      </c>
      <c r="L5" s="170" t="s">
        <v>17</v>
      </c>
    </row>
    <row r="6" spans="1:14" x14ac:dyDescent="0.25">
      <c r="A6" s="6"/>
      <c r="B6" s="7">
        <f>BASE_YR</f>
        <v>2018</v>
      </c>
      <c r="C6" s="170">
        <f>B6+1</f>
        <v>2019</v>
      </c>
      <c r="D6" s="170">
        <f t="shared" ref="D6:L6" si="0">C6+1</f>
        <v>2020</v>
      </c>
      <c r="E6" s="170">
        <f t="shared" si="0"/>
        <v>2021</v>
      </c>
      <c r="F6" s="170">
        <f t="shared" si="0"/>
        <v>2022</v>
      </c>
      <c r="G6" s="170">
        <f t="shared" si="0"/>
        <v>2023</v>
      </c>
      <c r="H6" s="170">
        <f t="shared" si="0"/>
        <v>2024</v>
      </c>
      <c r="I6" s="170">
        <f t="shared" si="0"/>
        <v>2025</v>
      </c>
      <c r="J6" s="170">
        <f t="shared" si="0"/>
        <v>2026</v>
      </c>
      <c r="K6" s="170">
        <f t="shared" si="0"/>
        <v>2027</v>
      </c>
      <c r="L6" s="170">
        <f t="shared" si="0"/>
        <v>2028</v>
      </c>
    </row>
    <row r="7" spans="1:14" x14ac:dyDescent="0.25">
      <c r="A7" s="6"/>
      <c r="B7" s="7" t="s">
        <v>864</v>
      </c>
      <c r="C7" s="170" t="s">
        <v>864</v>
      </c>
      <c r="D7" s="170" t="s">
        <v>864</v>
      </c>
      <c r="E7" s="170" t="s">
        <v>864</v>
      </c>
      <c r="F7" s="170" t="s">
        <v>864</v>
      </c>
      <c r="G7" s="170" t="s">
        <v>864</v>
      </c>
      <c r="H7" s="170" t="s">
        <v>864</v>
      </c>
      <c r="I7" s="170" t="s">
        <v>864</v>
      </c>
      <c r="J7" s="170" t="s">
        <v>864</v>
      </c>
      <c r="K7" s="170" t="s">
        <v>864</v>
      </c>
      <c r="L7" s="170" t="s">
        <v>864</v>
      </c>
    </row>
    <row r="8" spans="1:14" x14ac:dyDescent="0.25">
      <c r="A8" s="172" t="s">
        <v>865</v>
      </c>
    </row>
    <row r="9" spans="1:14" x14ac:dyDescent="0.25">
      <c r="A9" s="179" t="s">
        <v>866</v>
      </c>
    </row>
    <row r="10" spans="1:14" x14ac:dyDescent="0.25">
      <c r="A10" s="6" t="s">
        <v>749</v>
      </c>
      <c r="B10" s="108">
        <f>-'Note 3'!C29</f>
        <v>108227480</v>
      </c>
      <c r="C10" s="108">
        <f>-'Note 3'!D29</f>
        <v>115279382.27179433</v>
      </c>
      <c r="D10" s="108">
        <f>-'Note 3'!E29</f>
        <v>116364119.26208761</v>
      </c>
      <c r="E10" s="108">
        <f>-'Note 3'!F29</f>
        <v>122245604.68648025</v>
      </c>
      <c r="F10" s="108">
        <f>-'Note 3'!G29</f>
        <v>125841668.85836551</v>
      </c>
      <c r="G10" s="108">
        <f>-'Note 3'!H29</f>
        <v>129541204.3563398</v>
      </c>
      <c r="H10" s="108">
        <f>-'Note 3'!I29</f>
        <v>133531677.90577382</v>
      </c>
      <c r="I10" s="108">
        <f>-'Note 3'!J29</f>
        <v>137642355.69215453</v>
      </c>
      <c r="J10" s="108">
        <f>-'Note 3'!K29</f>
        <v>141876805.18988752</v>
      </c>
      <c r="K10" s="108">
        <f>-'Note 3'!L29</f>
        <v>146036021.62224042</v>
      </c>
      <c r="L10" s="108">
        <f>-'Note 3'!M29</f>
        <v>150314610.95472181</v>
      </c>
      <c r="N10" s="111"/>
    </row>
    <row r="11" spans="1:14" x14ac:dyDescent="0.25">
      <c r="A11" s="6" t="s">
        <v>28</v>
      </c>
      <c r="B11" s="108">
        <f>-'Note 3'!C71</f>
        <v>17946681</v>
      </c>
      <c r="C11" s="108">
        <f>-'Note 3'!D71</f>
        <v>18543010.293398399</v>
      </c>
      <c r="D11" s="108">
        <f>-'Note 3'!E71</f>
        <v>19159674.658883695</v>
      </c>
      <c r="E11" s="108">
        <f>-'Note 3'!F71</f>
        <v>19797381.918857876</v>
      </c>
      <c r="F11" s="108">
        <f>-'Note 3'!G71</f>
        <v>20456864.921248343</v>
      </c>
      <c r="G11" s="108">
        <f>-'Note 3'!H71</f>
        <v>21138882.434534717</v>
      </c>
      <c r="H11" s="108">
        <f>-'Note 3'!I71</f>
        <v>21851121.665150501</v>
      </c>
      <c r="I11" s="108">
        <f>-'Note 3'!J71</f>
        <v>22587874.035392508</v>
      </c>
      <c r="J11" s="108">
        <f>-'Note 3'!K71</f>
        <v>23349997.475333672</v>
      </c>
      <c r="K11" s="108">
        <f>-'Note 3'!L71</f>
        <v>24130838.775417753</v>
      </c>
      <c r="L11" s="108">
        <f>-'Note 3'!M71</f>
        <v>24938444.551140621</v>
      </c>
      <c r="N11" s="111"/>
    </row>
    <row r="12" spans="1:14" x14ac:dyDescent="0.25">
      <c r="A12" s="6" t="s">
        <v>867</v>
      </c>
      <c r="B12" s="108">
        <f>-'Note 3'!C81</f>
        <v>1805827</v>
      </c>
      <c r="C12" s="108">
        <f>-'Note 3'!D81</f>
        <v>1279647.6403627086</v>
      </c>
      <c r="D12" s="108">
        <f>-'Note 3'!E81</f>
        <v>1256975.1457739754</v>
      </c>
      <c r="E12" s="108">
        <f>-'Note 3'!F81</f>
        <v>1202395.9955940337</v>
      </c>
      <c r="F12" s="108">
        <f>-'Note 3'!G81</f>
        <v>1224214.6379911867</v>
      </c>
      <c r="G12" s="108">
        <f>-'Note 3'!H81</f>
        <v>1262448.133510594</v>
      </c>
      <c r="H12" s="108">
        <f>-'Note 3'!I81</f>
        <v>1396037.4316895443</v>
      </c>
      <c r="I12" s="108">
        <f>-'Note 3'!J81</f>
        <v>1471715.0467520119</v>
      </c>
      <c r="J12" s="108">
        <f>-'Note 3'!K81</f>
        <v>1547572.2017682134</v>
      </c>
      <c r="K12" s="108">
        <f>-'Note 3'!L81</f>
        <v>1571414.0722659966</v>
      </c>
      <c r="L12" s="108">
        <f>-'Note 3'!M81</f>
        <v>1630245.9802752854</v>
      </c>
      <c r="N12" s="111"/>
    </row>
    <row r="13" spans="1:14" x14ac:dyDescent="0.25">
      <c r="A13" s="6" t="s">
        <v>868</v>
      </c>
      <c r="B13" s="108">
        <f>-'Note 3'!C94</f>
        <v>8542325</v>
      </c>
      <c r="C13" s="108">
        <f>-'Note 3'!D94</f>
        <v>8584499.4285376128</v>
      </c>
      <c r="D13" s="108">
        <f>-'Note 3'!E94</f>
        <v>8874800.6793024503</v>
      </c>
      <c r="E13" s="108">
        <f>-'Note 3'!F94</f>
        <v>9144949.9303555079</v>
      </c>
      <c r="F13" s="108">
        <f>-'Note 3'!G94</f>
        <v>9423453.1623671427</v>
      </c>
      <c r="G13" s="108">
        <f>-'Note 3'!H94</f>
        <v>9710712.0748328343</v>
      </c>
      <c r="H13" s="108">
        <f>-'Note 3'!I94</f>
        <v>10007240.941164471</v>
      </c>
      <c r="I13" s="108">
        <f>-'Note 3'!J94</f>
        <v>10313369.979445273</v>
      </c>
      <c r="J13" s="108">
        <f>-'Note 3'!K94</f>
        <v>10628822.9806192</v>
      </c>
      <c r="K13" s="108">
        <f>-'Note 3'!L94</f>
        <v>10954223.966608299</v>
      </c>
      <c r="L13" s="108">
        <f>-'Note 3'!M94</f>
        <v>11289894.89072139</v>
      </c>
      <c r="N13" s="111"/>
    </row>
    <row r="14" spans="1:14" x14ac:dyDescent="0.25">
      <c r="A14" s="6" t="s">
        <v>869</v>
      </c>
      <c r="B14" s="108">
        <f>-'Note 3'!C128</f>
        <v>6463755</v>
      </c>
      <c r="C14" s="108">
        <f>-'Note 3'!D128</f>
        <v>7081573.8749999991</v>
      </c>
      <c r="D14" s="108">
        <f>-'Note 3'!E128</f>
        <v>7230013.2218749989</v>
      </c>
      <c r="E14" s="108">
        <f>-'Note 3'!F128</f>
        <v>7382163.5524218734</v>
      </c>
      <c r="F14" s="108">
        <f>-'Note 3'!G128</f>
        <v>7538117.6412324198</v>
      </c>
      <c r="G14" s="108">
        <f>-'Note 3'!H128</f>
        <v>7697970.5822632285</v>
      </c>
      <c r="H14" s="108">
        <f>-'Note 3'!I128</f>
        <v>7861819.8468198096</v>
      </c>
      <c r="I14" s="108">
        <f>-'Note 3'!J128</f>
        <v>8029765.3429903034</v>
      </c>
      <c r="J14" s="108">
        <f>-'Note 3'!K128</f>
        <v>8201909.4765650611</v>
      </c>
      <c r="K14" s="108">
        <f>-'Note 3'!L128</f>
        <v>8378357.2134791864</v>
      </c>
      <c r="L14" s="108">
        <f>-'Note 3'!M128</f>
        <v>8559216.1438161656</v>
      </c>
      <c r="N14" s="111"/>
    </row>
    <row r="15" spans="1:14" x14ac:dyDescent="0.25">
      <c r="A15" s="6" t="s">
        <v>870</v>
      </c>
      <c r="B15" s="108">
        <f>-'Note 3'!C153</f>
        <v>5086495</v>
      </c>
      <c r="C15" s="108">
        <f>-'Note 3'!D153</f>
        <v>5142407.375</v>
      </c>
      <c r="D15" s="108">
        <f>-'Note 3'!E153</f>
        <v>5199717.5593749993</v>
      </c>
      <c r="E15" s="108">
        <f>-'Note 3'!F153</f>
        <v>5208460.4983593747</v>
      </c>
      <c r="F15" s="108">
        <f>-'Note 3'!G153</f>
        <v>5268672.0108183585</v>
      </c>
      <c r="G15" s="108">
        <f>-'Note 3'!H153</f>
        <v>5330388.8110888172</v>
      </c>
      <c r="H15" s="108">
        <f>-'Note 3'!I153</f>
        <v>5393648.5313660372</v>
      </c>
      <c r="I15" s="108">
        <f>-'Note 3'!J153</f>
        <v>5458489.7446501888</v>
      </c>
      <c r="J15" s="108">
        <f>-'Note 3'!K153</f>
        <v>5524951.9882664429</v>
      </c>
      <c r="K15" s="108">
        <f>-'Note 3'!L153</f>
        <v>5593075.7879731031</v>
      </c>
      <c r="L15" s="108">
        <f>-'Note 3'!M153</f>
        <v>5662902.6826724308</v>
      </c>
      <c r="N15" s="111"/>
    </row>
    <row r="16" spans="1:14" hidden="1" x14ac:dyDescent="0.25">
      <c r="A16" s="105" t="s">
        <v>871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N16" s="111"/>
    </row>
    <row r="17" spans="1:14" hidden="1" x14ac:dyDescent="0.25">
      <c r="A17" s="6" t="s">
        <v>872</v>
      </c>
      <c r="B17" s="108">
        <f>'Note 4 to 5'!C112</f>
        <v>132057.06518488866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N17" s="111"/>
    </row>
    <row r="18" spans="1:14" ht="26.25" hidden="1" x14ac:dyDescent="0.25">
      <c r="A18" s="106" t="s">
        <v>873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N18" s="111"/>
    </row>
    <row r="19" spans="1:14" x14ac:dyDescent="0.25">
      <c r="A19" s="174" t="s">
        <v>874</v>
      </c>
      <c r="B19" s="175">
        <f>SUBTOTAL(9,B10:B18)</f>
        <v>148204620.06518489</v>
      </c>
      <c r="C19" s="175">
        <f t="shared" ref="C19:L19" si="1">SUBTOTAL(9,C10:C18)</f>
        <v>155910520.88409305</v>
      </c>
      <c r="D19" s="175">
        <f t="shared" si="1"/>
        <v>158085300.52729774</v>
      </c>
      <c r="E19" s="175">
        <f t="shared" si="1"/>
        <v>164980956.58206892</v>
      </c>
      <c r="F19" s="175">
        <f t="shared" si="1"/>
        <v>169752991.23202297</v>
      </c>
      <c r="G19" s="175">
        <f t="shared" si="1"/>
        <v>174681606.39256999</v>
      </c>
      <c r="H19" s="175">
        <f t="shared" si="1"/>
        <v>180041546.32196417</v>
      </c>
      <c r="I19" s="175">
        <f t="shared" si="1"/>
        <v>185503569.84138483</v>
      </c>
      <c r="J19" s="175">
        <f t="shared" si="1"/>
        <v>191130059.3124401</v>
      </c>
      <c r="K19" s="175">
        <f t="shared" si="1"/>
        <v>196663931.43798473</v>
      </c>
      <c r="L19" s="175">
        <f t="shared" si="1"/>
        <v>202395315.20334768</v>
      </c>
      <c r="N19" s="111"/>
    </row>
    <row r="20" spans="1:14" x14ac:dyDescent="0.25">
      <c r="N20" s="111"/>
    </row>
    <row r="21" spans="1:14" x14ac:dyDescent="0.25"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N21" s="111"/>
    </row>
    <row r="22" spans="1:14" x14ac:dyDescent="0.25">
      <c r="A22" s="172" t="s">
        <v>1238</v>
      </c>
      <c r="N22" s="111"/>
    </row>
    <row r="23" spans="1:14" x14ac:dyDescent="0.25">
      <c r="A23" s="6" t="s">
        <v>80</v>
      </c>
      <c r="B23" s="108">
        <f>'Note 4 to 5'!C21</f>
        <v>62033885.766044669</v>
      </c>
      <c r="C23" s="108">
        <f>'Note 4 to 5'!D21</f>
        <v>64355997.331255168</v>
      </c>
      <c r="D23" s="108">
        <f>'Note 4 to 5'!E21</f>
        <v>66715788.442652471</v>
      </c>
      <c r="E23" s="108">
        <f>'Note 4 to 5'!F21</f>
        <v>69165055.916526094</v>
      </c>
      <c r="F23" s="108">
        <f>'Note 4 to 5'!G21</f>
        <v>71957174.841981485</v>
      </c>
      <c r="G23" s="108">
        <f>'Note 4 to 5'!H21</f>
        <v>74866182.169479236</v>
      </c>
      <c r="H23" s="108">
        <f>'Note 4 to 5'!I21</f>
        <v>77897071.794142574</v>
      </c>
      <c r="I23" s="108">
        <f>'Note 4 to 5'!J21</f>
        <v>81055053.087648869</v>
      </c>
      <c r="J23" s="108">
        <f>'Note 4 to 5'!K21</f>
        <v>84345560.230248854</v>
      </c>
      <c r="K23" s="108">
        <f>'Note 4 to 5'!L21</f>
        <v>87469240.325627342</v>
      </c>
      <c r="L23" s="108">
        <f>'Note 4 to 5'!M21</f>
        <v>90712218.613365591</v>
      </c>
      <c r="N23" s="111"/>
    </row>
    <row r="24" spans="1:14" x14ac:dyDescent="0.25">
      <c r="A24" s="6" t="s">
        <v>875</v>
      </c>
      <c r="B24" s="108">
        <f>'Note 4 to 5'!C24</f>
        <v>0</v>
      </c>
      <c r="C24" s="108">
        <f>'Note 4 to 5'!D24</f>
        <v>1350000</v>
      </c>
      <c r="D24" s="108">
        <f>'Note 4 to 5'!E24</f>
        <v>1287437.9117275202</v>
      </c>
      <c r="E24" s="108">
        <f>'Note 4 to 5'!F24</f>
        <v>1221747.7190414162</v>
      </c>
      <c r="F24" s="108">
        <f>'Note 4 to 5'!G24</f>
        <v>1152773.0167210072</v>
      </c>
      <c r="G24" s="108">
        <f>'Note 4 to 5'!H24</f>
        <v>1080349.5792845774</v>
      </c>
      <c r="H24" s="108">
        <f>'Note 4 to 5'!I24</f>
        <v>1004304.9699763265</v>
      </c>
      <c r="I24" s="108">
        <f>'Note 4 to 5'!J24</f>
        <v>924458.13020266301</v>
      </c>
      <c r="J24" s="108">
        <f>'Note 4 to 5'!K24</f>
        <v>840618.94844031613</v>
      </c>
      <c r="K24" s="108">
        <f>'Note 4 to 5'!L24</f>
        <v>752587.80758985213</v>
      </c>
      <c r="L24" s="108">
        <f>'Note 4 to 5'!M24</f>
        <v>660155.10969686473</v>
      </c>
      <c r="N24" s="111"/>
    </row>
    <row r="25" spans="1:14" x14ac:dyDescent="0.25">
      <c r="A25" s="6" t="s">
        <v>36</v>
      </c>
      <c r="B25" s="108">
        <f>'Note 4 to 5'!C39</f>
        <v>36686881</v>
      </c>
      <c r="C25" s="108">
        <f>'Note 4 to 5'!D39</f>
        <v>37604053.024999999</v>
      </c>
      <c r="D25" s="108">
        <f>'Note 4 to 5'!E39</f>
        <v>38544154.350625001</v>
      </c>
      <c r="E25" s="108">
        <f>'Note 4 to 5'!F39</f>
        <v>39507758.209390625</v>
      </c>
      <c r="F25" s="108">
        <f>'Note 4 to 5'!G39</f>
        <v>40495452.164625399</v>
      </c>
      <c r="G25" s="108">
        <f>'Note 4 to 5'!H39</f>
        <v>41507838.468741022</v>
      </c>
      <c r="H25" s="108">
        <f>'Note 4 to 5'!I39</f>
        <v>42545534.430459559</v>
      </c>
      <c r="I25" s="108">
        <f>'Note 4 to 5'!J39</f>
        <v>43609172.791221038</v>
      </c>
      <c r="J25" s="108">
        <f>'Note 4 to 5'!K39</f>
        <v>44699402.111001574</v>
      </c>
      <c r="K25" s="108">
        <f>'Note 4 to 5'!L39</f>
        <v>45816887.163776614</v>
      </c>
      <c r="L25" s="108">
        <f>'Note 4 to 5'!M39</f>
        <v>46962309.342871025</v>
      </c>
      <c r="N25" s="111"/>
    </row>
    <row r="26" spans="1:14" x14ac:dyDescent="0.25">
      <c r="A26" s="6" t="s">
        <v>853</v>
      </c>
      <c r="B26" s="108">
        <f>'Note 4 to 5'!C58</f>
        <v>23528982</v>
      </c>
      <c r="C26" s="108">
        <f>'Note 4 to 5'!D58</f>
        <v>22822754.025585577</v>
      </c>
      <c r="D26" s="108">
        <f>'Note 4 to 5'!E58</f>
        <v>23802379.839880958</v>
      </c>
      <c r="E26" s="108">
        <f>'Note 4 to 5'!F58</f>
        <v>24845621.932583559</v>
      </c>
      <c r="F26" s="108">
        <f>'Note 4 to 5'!G58</f>
        <v>25745440.298295461</v>
      </c>
      <c r="G26" s="108">
        <f>'Note 4 to 5'!H58</f>
        <v>26607354.454380278</v>
      </c>
      <c r="H26" s="108">
        <f>'Note 4 to 5'!I58</f>
        <v>27716740.51252811</v>
      </c>
      <c r="I26" s="108">
        <f>'Note 4 to 5'!J58</f>
        <v>28506447.635382351</v>
      </c>
      <c r="J26" s="108">
        <f>'Note 4 to 5'!K58</f>
        <v>29591737.265016958</v>
      </c>
      <c r="K26" s="108">
        <f>'Note 4 to 5'!L58</f>
        <v>30948956.723557297</v>
      </c>
      <c r="L26" s="108">
        <f>'Note 4 to 5'!M58</f>
        <v>31969887.873776428</v>
      </c>
      <c r="N26" s="111"/>
    </row>
    <row r="27" spans="1:14" hidden="1" x14ac:dyDescent="0.25">
      <c r="A27" s="6" t="s">
        <v>876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N27" s="111"/>
    </row>
    <row r="28" spans="1:14" x14ac:dyDescent="0.25">
      <c r="A28" s="6" t="s">
        <v>85</v>
      </c>
      <c r="B28" s="108">
        <f>'Note 4 to 5'!C86</f>
        <v>15863984</v>
      </c>
      <c r="C28" s="108">
        <f>'Note 4 to 5'!D86</f>
        <v>16064128.831686577</v>
      </c>
      <c r="D28" s="108">
        <f>'Note 4 to 5'!E86</f>
        <v>16537994.952870201</v>
      </c>
      <c r="E28" s="108">
        <f>'Note 4 to 5'!F86</f>
        <v>17752889.276368797</v>
      </c>
      <c r="F28" s="108">
        <f>'Note 4 to 5'!G86</f>
        <v>17604416.291482236</v>
      </c>
      <c r="G28" s="108">
        <f>'Note 4 to 5'!H86</f>
        <v>18167832.226387184</v>
      </c>
      <c r="H28" s="108">
        <f>'Note 4 to 5'!I86</f>
        <v>18752846.68668016</v>
      </c>
      <c r="I28" s="108">
        <f>'Note 4 to 5'!J86</f>
        <v>20125310.739949811</v>
      </c>
      <c r="J28" s="108">
        <f>'Note 4 to 5'!K86</f>
        <v>19990733.378533676</v>
      </c>
      <c r="K28" s="108">
        <f>'Note 4 to 5'!L86</f>
        <v>20646178.713794097</v>
      </c>
      <c r="L28" s="108">
        <f>'Note 4 to 5'!M86</f>
        <v>21327335.211392652</v>
      </c>
      <c r="N28" s="111"/>
    </row>
    <row r="29" spans="1:14" x14ac:dyDescent="0.25">
      <c r="A29" s="6" t="s">
        <v>877</v>
      </c>
      <c r="B29" s="108"/>
      <c r="C29" s="108">
        <f>-'Note 4 to 5'!D112</f>
        <v>3002335.5758860246</v>
      </c>
      <c r="D29" s="108">
        <f>-'Note 4 to 5'!E112</f>
        <v>1410702.7126195058</v>
      </c>
      <c r="E29" s="108">
        <f>-'Note 4 to 5'!F112</f>
        <v>1545792.1767690661</v>
      </c>
      <c r="F29" s="108">
        <f>-'Note 4 to 5'!G112</f>
        <v>1592161.3981231074</v>
      </c>
      <c r="G29" s="108">
        <f>-'Note 4 to 5'!H112</f>
        <v>1651509.8523003233</v>
      </c>
      <c r="H29" s="108">
        <f>-'Note 4 to 5'!I112</f>
        <v>1481501.7845524056</v>
      </c>
      <c r="I29" s="108">
        <f>-'Note 4 to 5'!J112</f>
        <v>1641409.5132510085</v>
      </c>
      <c r="J29" s="108">
        <f>-'Note 4 to 5'!K112</f>
        <v>1552439.6823447549</v>
      </c>
      <c r="K29" s="108">
        <f>-'Note 4 to 5'!L112</f>
        <v>1515193.2419236153</v>
      </c>
      <c r="L29" s="108">
        <f>-'Note 4 to 5'!M112</f>
        <v>1708946.3051985586</v>
      </c>
      <c r="N29" s="111"/>
    </row>
    <row r="30" spans="1:14" x14ac:dyDescent="0.25">
      <c r="A30" s="174" t="s">
        <v>878</v>
      </c>
      <c r="B30" s="175">
        <f>SUBTOTAL(9,B23:B29)</f>
        <v>138113732.76604468</v>
      </c>
      <c r="C30" s="175">
        <f t="shared" ref="C30:L30" si="2">SUBTOTAL(9,C23:C29)</f>
        <v>145199268.78941333</v>
      </c>
      <c r="D30" s="175">
        <f t="shared" si="2"/>
        <v>148298458.21037567</v>
      </c>
      <c r="E30" s="175">
        <f t="shared" si="2"/>
        <v>154038865.23067957</v>
      </c>
      <c r="F30" s="175">
        <f t="shared" si="2"/>
        <v>158547418.01122871</v>
      </c>
      <c r="G30" s="175">
        <f t="shared" si="2"/>
        <v>163881066.75057259</v>
      </c>
      <c r="H30" s="175">
        <f t="shared" si="2"/>
        <v>169398000.17833912</v>
      </c>
      <c r="I30" s="175">
        <f t="shared" si="2"/>
        <v>175861851.89765576</v>
      </c>
      <c r="J30" s="175">
        <f t="shared" si="2"/>
        <v>181020491.61558613</v>
      </c>
      <c r="K30" s="175">
        <f t="shared" si="2"/>
        <v>187149043.97626883</v>
      </c>
      <c r="L30" s="175">
        <f t="shared" si="2"/>
        <v>193340852.45630109</v>
      </c>
      <c r="N30" s="111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N31" s="111"/>
    </row>
    <row r="32" spans="1:14" ht="15.75" thickBot="1" x14ac:dyDescent="0.3">
      <c r="A32" s="172" t="s">
        <v>879</v>
      </c>
      <c r="B32" s="176">
        <f t="shared" ref="B32:L32" si="3">B19-B30</f>
        <v>10090887.299140215</v>
      </c>
      <c r="C32" s="176">
        <f t="shared" si="3"/>
        <v>10711252.094679713</v>
      </c>
      <c r="D32" s="176">
        <f t="shared" si="3"/>
        <v>9786842.3169220686</v>
      </c>
      <c r="E32" s="176">
        <f t="shared" si="3"/>
        <v>10942091.351389349</v>
      </c>
      <c r="F32" s="176">
        <f t="shared" si="3"/>
        <v>11205573.220794261</v>
      </c>
      <c r="G32" s="176">
        <f t="shared" si="3"/>
        <v>10800539.641997397</v>
      </c>
      <c r="H32" s="176">
        <f t="shared" si="3"/>
        <v>10643546.143625051</v>
      </c>
      <c r="I32" s="176">
        <f t="shared" si="3"/>
        <v>9641717.9437290728</v>
      </c>
      <c r="J32" s="176">
        <f t="shared" si="3"/>
        <v>10109567.696853966</v>
      </c>
      <c r="K32" s="176">
        <f t="shared" si="3"/>
        <v>9514887.4617159069</v>
      </c>
      <c r="L32" s="176">
        <f t="shared" si="3"/>
        <v>9054462.7470465899</v>
      </c>
      <c r="N32" s="111"/>
    </row>
    <row r="34" spans="1:12" x14ac:dyDescent="0.25">
      <c r="A34" s="172" t="s">
        <v>880</v>
      </c>
      <c r="B34" s="6"/>
      <c r="C34" s="26"/>
      <c r="D34" s="26"/>
      <c r="E34" s="26"/>
      <c r="F34" s="26"/>
      <c r="G34" s="26"/>
      <c r="H34" s="26"/>
      <c r="I34" s="26"/>
      <c r="J34" s="26"/>
      <c r="K34" s="26"/>
      <c r="L34" s="26"/>
    </row>
    <row r="35" spans="1:12" x14ac:dyDescent="0.25">
      <c r="A35" s="6" t="s">
        <v>881</v>
      </c>
      <c r="B35" s="108">
        <v>0</v>
      </c>
      <c r="C35" s="108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</row>
    <row r="37" spans="1:12" ht="15.75" thickBot="1" x14ac:dyDescent="0.3">
      <c r="A37" s="172" t="s">
        <v>882</v>
      </c>
      <c r="B37" s="178">
        <f t="shared" ref="B37:L37" si="4">B32+B35</f>
        <v>10090887.299140215</v>
      </c>
      <c r="C37" s="178">
        <f>C32+C35</f>
        <v>10711252.094679713</v>
      </c>
      <c r="D37" s="178">
        <f t="shared" si="4"/>
        <v>9786842.3169220686</v>
      </c>
      <c r="E37" s="178">
        <f t="shared" si="4"/>
        <v>10942091.351389349</v>
      </c>
      <c r="F37" s="178">
        <f t="shared" si="4"/>
        <v>11205573.220794261</v>
      </c>
      <c r="G37" s="178">
        <f t="shared" si="4"/>
        <v>10800539.641997397</v>
      </c>
      <c r="H37" s="178">
        <f t="shared" si="4"/>
        <v>10643546.143625051</v>
      </c>
      <c r="I37" s="178">
        <f t="shared" si="4"/>
        <v>9641717.9437290728</v>
      </c>
      <c r="J37" s="178">
        <f t="shared" si="4"/>
        <v>10109567.696853966</v>
      </c>
      <c r="K37" s="178">
        <f t="shared" si="4"/>
        <v>9514887.4617159069</v>
      </c>
      <c r="L37" s="178">
        <f t="shared" si="4"/>
        <v>9054462.7470465899</v>
      </c>
    </row>
    <row r="38" spans="1:12" ht="15.75" thickTop="1" x14ac:dyDescent="0.25"/>
    <row r="39" spans="1:12" hidden="1" x14ac:dyDescent="0.25">
      <c r="A39" s="6" t="s">
        <v>883</v>
      </c>
      <c r="B39" s="108">
        <f>B37</f>
        <v>10090887.299140215</v>
      </c>
      <c r="C39" s="108">
        <f t="shared" ref="C39:L39" si="5">C37</f>
        <v>10711252.094679713</v>
      </c>
      <c r="D39" s="108">
        <f t="shared" si="5"/>
        <v>9786842.3169220686</v>
      </c>
      <c r="E39" s="108">
        <f t="shared" si="5"/>
        <v>10942091.351389349</v>
      </c>
      <c r="F39" s="108">
        <f t="shared" si="5"/>
        <v>11205573.220794261</v>
      </c>
      <c r="G39" s="108">
        <f t="shared" si="5"/>
        <v>10800539.641997397</v>
      </c>
      <c r="H39" s="108">
        <f t="shared" si="5"/>
        <v>10643546.143625051</v>
      </c>
      <c r="I39" s="108">
        <f t="shared" si="5"/>
        <v>9641717.9437290728</v>
      </c>
      <c r="J39" s="108">
        <f t="shared" si="5"/>
        <v>10109567.696853966</v>
      </c>
      <c r="K39" s="108">
        <f t="shared" si="5"/>
        <v>9514887.4617159069</v>
      </c>
      <c r="L39" s="108">
        <f t="shared" si="5"/>
        <v>9054462.7470465899</v>
      </c>
    </row>
    <row r="40" spans="1:12" hidden="1" x14ac:dyDescent="0.25">
      <c r="A40" s="6" t="s">
        <v>1230</v>
      </c>
      <c r="B40" s="108">
        <v>0</v>
      </c>
      <c r="C40" s="108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108">
        <v>0</v>
      </c>
    </row>
    <row r="41" spans="1:12" hidden="1" x14ac:dyDescent="0.25"/>
    <row r="42" spans="1:12" ht="26.25" x14ac:dyDescent="0.25">
      <c r="A42" s="106" t="s">
        <v>884</v>
      </c>
      <c r="B42" s="175">
        <f t="shared" ref="B42:L42" si="6">B37-B15</f>
        <v>5004392.2991402149</v>
      </c>
      <c r="C42" s="175">
        <f t="shared" si="6"/>
        <v>5568844.7196797132</v>
      </c>
      <c r="D42" s="175">
        <f t="shared" si="6"/>
        <v>4587124.7575470693</v>
      </c>
      <c r="E42" s="175">
        <f t="shared" si="6"/>
        <v>5733630.8530299738</v>
      </c>
      <c r="F42" s="175">
        <f t="shared" si="6"/>
        <v>5936901.209975902</v>
      </c>
      <c r="G42" s="175">
        <f t="shared" si="6"/>
        <v>5470150.8309085798</v>
      </c>
      <c r="H42" s="175">
        <f t="shared" si="6"/>
        <v>5249897.6122590136</v>
      </c>
      <c r="I42" s="175">
        <f t="shared" si="6"/>
        <v>4183228.199078884</v>
      </c>
      <c r="J42" s="175">
        <f t="shared" si="6"/>
        <v>4584615.7085875226</v>
      </c>
      <c r="K42" s="175">
        <f t="shared" si="6"/>
        <v>3921811.6737428037</v>
      </c>
      <c r="L42" s="175">
        <f t="shared" si="6"/>
        <v>3391560.0643741591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6"/>
  <sheetViews>
    <sheetView zoomScale="120" zoomScaleNormal="120" workbookViewId="0">
      <pane xSplit="1" ySplit="5" topLeftCell="B78" activePane="bottomRight" state="frozen"/>
      <selection pane="topRight" activeCell="B1" sqref="B1"/>
      <selection pane="bottomLeft" activeCell="A6" sqref="A6"/>
      <selection pane="bottomRight" activeCell="J98" sqref="J98"/>
    </sheetView>
  </sheetViews>
  <sheetFormatPr defaultRowHeight="15" x14ac:dyDescent="0.25"/>
  <cols>
    <col min="1" max="1" width="46.28515625" customWidth="1"/>
    <col min="2" max="12" width="13.28515625" bestFit="1" customWidth="1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" customHeight="1" x14ac:dyDescent="0.25">
      <c r="A2" s="1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7" t="s">
        <v>7</v>
      </c>
      <c r="C4" s="89" t="s">
        <v>8</v>
      </c>
      <c r="D4" s="89" t="s">
        <v>9</v>
      </c>
      <c r="E4" s="89" t="s">
        <v>10</v>
      </c>
      <c r="F4" s="89" t="s">
        <v>11</v>
      </c>
      <c r="G4" s="89" t="s">
        <v>12</v>
      </c>
      <c r="H4" s="89" t="s">
        <v>13</v>
      </c>
      <c r="I4" s="89" t="s">
        <v>14</v>
      </c>
      <c r="J4" s="89" t="s">
        <v>15</v>
      </c>
      <c r="K4" s="89" t="s">
        <v>16</v>
      </c>
      <c r="L4" s="89" t="s">
        <v>17</v>
      </c>
    </row>
    <row r="5" spans="1:12" x14ac:dyDescent="0.25">
      <c r="A5" s="6"/>
      <c r="B5" s="7">
        <f>BASE_YR</f>
        <v>2018</v>
      </c>
      <c r="C5" s="89">
        <f>B5+1</f>
        <v>2019</v>
      </c>
      <c r="D5" s="89">
        <f t="shared" ref="D5:L5" si="0">C5+1</f>
        <v>2020</v>
      </c>
      <c r="E5" s="89">
        <f t="shared" si="0"/>
        <v>2021</v>
      </c>
      <c r="F5" s="89">
        <f t="shared" si="0"/>
        <v>2022</v>
      </c>
      <c r="G5" s="89">
        <f t="shared" si="0"/>
        <v>2023</v>
      </c>
      <c r="H5" s="89">
        <f t="shared" si="0"/>
        <v>2024</v>
      </c>
      <c r="I5" s="89">
        <f t="shared" si="0"/>
        <v>2025</v>
      </c>
      <c r="J5" s="89">
        <f t="shared" si="0"/>
        <v>2026</v>
      </c>
      <c r="K5" s="89">
        <f t="shared" si="0"/>
        <v>2027</v>
      </c>
      <c r="L5" s="89">
        <f t="shared" si="0"/>
        <v>2028</v>
      </c>
    </row>
    <row r="6" spans="1:12" ht="18" customHeight="1" x14ac:dyDescent="0.25">
      <c r="A6" s="96" t="s">
        <v>747</v>
      </c>
    </row>
    <row r="7" spans="1:12" x14ac:dyDescent="0.25">
      <c r="A7" s="97" t="s">
        <v>748</v>
      </c>
    </row>
    <row r="8" spans="1:12" x14ac:dyDescent="0.25">
      <c r="A8" s="3" t="s">
        <v>749</v>
      </c>
    </row>
    <row r="9" spans="1:12" x14ac:dyDescent="0.25">
      <c r="A9" s="98" t="s">
        <v>750</v>
      </c>
      <c r="B9" s="51">
        <f>-'Note 3'!C29</f>
        <v>108227480</v>
      </c>
      <c r="C9" s="51">
        <f>-'Note 3'!D29</f>
        <v>115279382.27179433</v>
      </c>
      <c r="D9" s="51">
        <f>-'Note 3'!E29</f>
        <v>116364119.26208761</v>
      </c>
      <c r="E9" s="51">
        <f>-'Note 3'!F29</f>
        <v>122245604.68648025</v>
      </c>
      <c r="F9" s="51">
        <f>-'Note 3'!G29</f>
        <v>125841668.85836551</v>
      </c>
      <c r="G9" s="51">
        <f>-'Note 3'!H29</f>
        <v>129541204.3563398</v>
      </c>
      <c r="H9" s="51">
        <f>-'Note 3'!I29</f>
        <v>133531677.90577382</v>
      </c>
      <c r="I9" s="51">
        <f>-'Note 3'!J29</f>
        <v>137642355.69215453</v>
      </c>
      <c r="J9" s="51">
        <f>-'Note 3'!K29</f>
        <v>141876805.18988752</v>
      </c>
      <c r="K9" s="51">
        <f>-'Note 3'!L29</f>
        <v>146036021.62224042</v>
      </c>
      <c r="L9" s="51">
        <f>-'Note 3'!M29</f>
        <v>150314610.95472181</v>
      </c>
    </row>
    <row r="10" spans="1:12" x14ac:dyDescent="0.25">
      <c r="A10" s="99" t="s">
        <v>751</v>
      </c>
      <c r="B10" s="51">
        <f>1764568+388261</f>
        <v>2152829</v>
      </c>
      <c r="C10" s="51">
        <f>B11</f>
        <v>2844061.75</v>
      </c>
      <c r="D10" s="51">
        <f t="shared" ref="D10:L10" si="1">C11</f>
        <v>3077789.3149299836</v>
      </c>
      <c r="E10" s="51">
        <f t="shared" si="1"/>
        <v>3265373.4239105359</v>
      </c>
      <c r="F10" s="51">
        <f t="shared" si="1"/>
        <v>3464283.0908616916</v>
      </c>
      <c r="G10" s="51">
        <f t="shared" si="1"/>
        <v>3570575.458923243</v>
      </c>
      <c r="H10" s="51">
        <f t="shared" si="1"/>
        <v>3680014.4877859456</v>
      </c>
      <c r="I10" s="51">
        <f t="shared" si="1"/>
        <v>3792691.0246474319</v>
      </c>
      <c r="J10" s="51">
        <f t="shared" si="1"/>
        <v>3908698.4912943328</v>
      </c>
      <c r="K10" s="51">
        <f t="shared" si="1"/>
        <v>4028132.9560285537</v>
      </c>
      <c r="L10" s="51">
        <f t="shared" si="1"/>
        <v>4151093.2075802218</v>
      </c>
    </row>
    <row r="11" spans="1:12" x14ac:dyDescent="0.25">
      <c r="A11" s="99" t="s">
        <v>752</v>
      </c>
      <c r="B11" s="51">
        <f>'Note 6 to 8'!B67+'Note 6 to 8'!B87</f>
        <v>2844061.75</v>
      </c>
      <c r="C11" s="51">
        <f>'Note 6 to 8'!C67+'Note 6 to 8'!C87</f>
        <v>3077789.3149299836</v>
      </c>
      <c r="D11" s="51">
        <f>'Note 6 to 8'!D67+'Note 6 to 8'!D87</f>
        <v>3265373.4239105359</v>
      </c>
      <c r="E11" s="51">
        <f>'Note 6 to 8'!E67+'Note 6 to 8'!E87</f>
        <v>3464283.0908616916</v>
      </c>
      <c r="F11" s="51">
        <f>'Note 6 to 8'!F67+'Note 6 to 8'!F87</f>
        <v>3570575.458923243</v>
      </c>
      <c r="G11" s="51">
        <f>'Note 6 to 8'!G67+'Note 6 to 8'!G87</f>
        <v>3680014.4877859456</v>
      </c>
      <c r="H11" s="51">
        <f>'Note 6 to 8'!H67+'Note 6 to 8'!H87</f>
        <v>3792691.0246474319</v>
      </c>
      <c r="I11" s="51">
        <f>'Note 6 to 8'!I67+'Note 6 to 8'!I87</f>
        <v>3908698.4912943328</v>
      </c>
      <c r="J11" s="51">
        <f>'Note 6 to 8'!J67+'Note 6 to 8'!J87</f>
        <v>4028132.9560285537</v>
      </c>
      <c r="K11" s="51">
        <f>'Note 6 to 8'!K67+'Note 6 to 8'!K87</f>
        <v>4151093.2075802218</v>
      </c>
      <c r="L11" s="51">
        <f>'Note 6 to 8'!L67+'Note 6 to 8'!L87</f>
        <v>4277680.8310616789</v>
      </c>
    </row>
    <row r="12" spans="1:12" x14ac:dyDescent="0.25">
      <c r="A12" s="98" t="s">
        <v>753</v>
      </c>
      <c r="B12" s="51">
        <f>-(B11-B10)</f>
        <v>-691232.75</v>
      </c>
      <c r="C12" s="51">
        <f>-(C11-C10)</f>
        <v>-233727.56492998358</v>
      </c>
      <c r="D12" s="51">
        <f t="shared" ref="D12:L12" si="2">-(D11-D10)</f>
        <v>-187584.10898055229</v>
      </c>
      <c r="E12" s="51">
        <f t="shared" si="2"/>
        <v>-198909.66695115576</v>
      </c>
      <c r="F12" s="51">
        <f t="shared" si="2"/>
        <v>-106292.36806155136</v>
      </c>
      <c r="G12" s="51">
        <f t="shared" si="2"/>
        <v>-109439.02886270266</v>
      </c>
      <c r="H12" s="51">
        <f t="shared" si="2"/>
        <v>-112676.53686148627</v>
      </c>
      <c r="I12" s="51">
        <f t="shared" si="2"/>
        <v>-116007.46664690087</v>
      </c>
      <c r="J12" s="51">
        <f t="shared" si="2"/>
        <v>-119434.46473422088</v>
      </c>
      <c r="K12" s="51">
        <f t="shared" si="2"/>
        <v>-122960.25155166816</v>
      </c>
      <c r="L12" s="51">
        <f t="shared" si="2"/>
        <v>-126587.62348145712</v>
      </c>
    </row>
    <row r="13" spans="1:12" x14ac:dyDescent="0.25">
      <c r="A13" s="3" t="s">
        <v>754</v>
      </c>
      <c r="B13" s="60">
        <f>B9+B12</f>
        <v>107536247.25</v>
      </c>
      <c r="C13" s="60">
        <f t="shared" ref="C13:L13" si="3">C9+C12</f>
        <v>115045654.70686436</v>
      </c>
      <c r="D13" s="60">
        <f t="shared" si="3"/>
        <v>116176535.15310706</v>
      </c>
      <c r="E13" s="60">
        <f t="shared" si="3"/>
        <v>122046695.0195291</v>
      </c>
      <c r="F13" s="60">
        <f t="shared" si="3"/>
        <v>125735376.49030395</v>
      </c>
      <c r="G13" s="60">
        <f t="shared" si="3"/>
        <v>129431765.3274771</v>
      </c>
      <c r="H13" s="60">
        <f t="shared" si="3"/>
        <v>133419001.36891234</v>
      </c>
      <c r="I13" s="60">
        <f t="shared" si="3"/>
        <v>137526348.22550762</v>
      </c>
      <c r="J13" s="60">
        <f t="shared" si="3"/>
        <v>141757370.7251533</v>
      </c>
      <c r="K13" s="60">
        <f t="shared" si="3"/>
        <v>145913061.37068877</v>
      </c>
      <c r="L13" s="60">
        <f t="shared" si="3"/>
        <v>150188023.33124036</v>
      </c>
    </row>
    <row r="15" spans="1:12" x14ac:dyDescent="0.25">
      <c r="A15" s="3" t="s">
        <v>28</v>
      </c>
    </row>
    <row r="16" spans="1:12" x14ac:dyDescent="0.25">
      <c r="A16" s="98" t="s">
        <v>750</v>
      </c>
      <c r="B16" s="51">
        <f>-'Note 3'!C71</f>
        <v>17946681</v>
      </c>
      <c r="C16" s="51">
        <f>-'Note 3'!D71</f>
        <v>18543010.293398399</v>
      </c>
      <c r="D16" s="51">
        <f>-'Note 3'!E71</f>
        <v>19159674.658883695</v>
      </c>
      <c r="E16" s="51">
        <f>-'Note 3'!F71</f>
        <v>19797381.918857876</v>
      </c>
      <c r="F16" s="51">
        <f>-'Note 3'!G71</f>
        <v>20456864.921248343</v>
      </c>
      <c r="G16" s="51">
        <f>-'Note 3'!H71</f>
        <v>21138882.434534717</v>
      </c>
      <c r="H16" s="51">
        <f>-'Note 3'!I71</f>
        <v>21851121.665150501</v>
      </c>
      <c r="I16" s="51">
        <f>-'Note 3'!J71</f>
        <v>22587874.035392508</v>
      </c>
      <c r="J16" s="51">
        <f>-'Note 3'!K71</f>
        <v>23349997.475333672</v>
      </c>
      <c r="K16" s="51">
        <f>-'Note 3'!L71</f>
        <v>24130838.775417753</v>
      </c>
      <c r="L16" s="51">
        <f>-'Note 3'!M71</f>
        <v>24938444.551140621</v>
      </c>
    </row>
    <row r="17" spans="1:12" x14ac:dyDescent="0.25">
      <c r="A17" s="99" t="s">
        <v>755</v>
      </c>
      <c r="B17" s="51">
        <f>2101549.27-185449.46</f>
        <v>1916099.81</v>
      </c>
      <c r="C17" s="51">
        <f>B18</f>
        <v>1732350.0099999998</v>
      </c>
      <c r="D17" s="51">
        <f t="shared" ref="D17:L17" si="4">C18</f>
        <v>1796016.8221144963</v>
      </c>
      <c r="E17" s="51">
        <f t="shared" si="4"/>
        <v>1862023.4979640483</v>
      </c>
      <c r="F17" s="51">
        <f t="shared" si="4"/>
        <v>1930456.0315244312</v>
      </c>
      <c r="G17" s="51">
        <f t="shared" si="4"/>
        <v>2001403.5771964297</v>
      </c>
      <c r="H17" s="51">
        <f t="shared" si="4"/>
        <v>2074958.5659568398</v>
      </c>
      <c r="I17" s="51">
        <f t="shared" si="4"/>
        <v>2151216.8257782133</v>
      </c>
      <c r="J17" s="51">
        <f t="shared" si="4"/>
        <v>2230277.7064742367</v>
      </c>
      <c r="K17" s="51">
        <f t="shared" si="4"/>
        <v>2312244.209133388</v>
      </c>
      <c r="L17" s="51">
        <f t="shared" si="4"/>
        <v>2397223.1203095005</v>
      </c>
    </row>
    <row r="18" spans="1:12" x14ac:dyDescent="0.25">
      <c r="A18" s="99" t="s">
        <v>756</v>
      </c>
      <c r="B18" s="51">
        <f>'Note 6 to 8'!B69+'Note 6 to 8'!B81</f>
        <v>1732350.0099999998</v>
      </c>
      <c r="C18" s="51">
        <f>'Note 6 to 8'!C69+'Note 6 to 8'!C81</f>
        <v>1796016.8221144963</v>
      </c>
      <c r="D18" s="51">
        <f>'Note 6 to 8'!D69+'Note 6 to 8'!D81</f>
        <v>1862023.4979640483</v>
      </c>
      <c r="E18" s="51">
        <f>'Note 6 to 8'!E69+'Note 6 to 8'!E81</f>
        <v>1930456.0315244312</v>
      </c>
      <c r="F18" s="51">
        <f>'Note 6 to 8'!F69+'Note 6 to 8'!F81</f>
        <v>2001403.5771964297</v>
      </c>
      <c r="G18" s="51">
        <f>'Note 6 to 8'!G69+'Note 6 to 8'!G81</f>
        <v>2074958.5659568398</v>
      </c>
      <c r="H18" s="51">
        <f>'Note 6 to 8'!H69+'Note 6 to 8'!H81</f>
        <v>2151216.8257782133</v>
      </c>
      <c r="I18" s="51">
        <f>'Note 6 to 8'!I69+'Note 6 to 8'!I81</f>
        <v>2230277.7064742367</v>
      </c>
      <c r="J18" s="51">
        <f>'Note 6 to 8'!J69+'Note 6 to 8'!J81</f>
        <v>2312244.209133388</v>
      </c>
      <c r="K18" s="51">
        <f>'Note 6 to 8'!K69+'Note 6 to 8'!K81</f>
        <v>2397223.1203095005</v>
      </c>
      <c r="L18" s="51">
        <f>'Note 6 to 8'!L69+'Note 6 to 8'!L81</f>
        <v>2485325.1511440617</v>
      </c>
    </row>
    <row r="19" spans="1:12" x14ac:dyDescent="0.25">
      <c r="A19" s="99" t="s">
        <v>757</v>
      </c>
      <c r="B19" s="51">
        <v>2045675.85</v>
      </c>
      <c r="C19" s="51">
        <f>B20</f>
        <v>1986155.05</v>
      </c>
      <c r="D19" s="51">
        <f t="shared" ref="D19:L19" si="5">C20</f>
        <v>2149379.0669925599</v>
      </c>
      <c r="E19" s="51">
        <f t="shared" si="5"/>
        <v>2280378.7280763863</v>
      </c>
      <c r="F19" s="51">
        <f t="shared" si="5"/>
        <v>2419287.6105958517</v>
      </c>
      <c r="G19" s="51">
        <f t="shared" si="5"/>
        <v>2493517.0550169894</v>
      </c>
      <c r="H19" s="51">
        <f t="shared" si="5"/>
        <v>2569943.9750171453</v>
      </c>
      <c r="I19" s="51">
        <f t="shared" si="5"/>
        <v>2648631.8138813865</v>
      </c>
      <c r="J19" s="51">
        <f t="shared" si="5"/>
        <v>2729645.8128631064</v>
      </c>
      <c r="K19" s="51">
        <f t="shared" si="5"/>
        <v>2813053.0614138525</v>
      </c>
      <c r="L19" s="51">
        <f t="shared" si="5"/>
        <v>2898922.5488005504</v>
      </c>
    </row>
    <row r="20" spans="1:12" x14ac:dyDescent="0.25">
      <c r="A20" s="99" t="s">
        <v>758</v>
      </c>
      <c r="B20" s="51">
        <f>-'Note 10 to 11'!B12</f>
        <v>1986155.05</v>
      </c>
      <c r="C20" s="51">
        <f>-'Note 10 to 11'!C12</f>
        <v>2149379.0669925599</v>
      </c>
      <c r="D20" s="51">
        <f>-'Note 10 to 11'!D12</f>
        <v>2280378.7280763863</v>
      </c>
      <c r="E20" s="51">
        <f>-'Note 10 to 11'!E12</f>
        <v>2419287.6105958517</v>
      </c>
      <c r="F20" s="51">
        <f>-'Note 10 to 11'!F12</f>
        <v>2493517.0550169894</v>
      </c>
      <c r="G20" s="51">
        <f>-'Note 10 to 11'!G12</f>
        <v>2569943.9750171453</v>
      </c>
      <c r="H20" s="51">
        <f>-'Note 10 to 11'!H12</f>
        <v>2648631.8138813865</v>
      </c>
      <c r="I20" s="51">
        <f>-'Note 10 to 11'!I12</f>
        <v>2729645.8128631064</v>
      </c>
      <c r="J20" s="51">
        <f>-'Note 10 to 11'!J12</f>
        <v>2813053.0614138525</v>
      </c>
      <c r="K20" s="51">
        <f>-'Note 10 to 11'!K12</f>
        <v>2898922.5488005504</v>
      </c>
      <c r="L20" s="51">
        <f>-'Note 10 to 11'!L12</f>
        <v>2987325.2171480972</v>
      </c>
    </row>
    <row r="21" spans="1:12" x14ac:dyDescent="0.25">
      <c r="A21" s="98" t="s">
        <v>753</v>
      </c>
      <c r="B21" s="51">
        <f>-(B18-B17)+(B20-B19)</f>
        <v>124229.00000000023</v>
      </c>
      <c r="C21" s="51">
        <f t="shared" ref="C21:L21" si="6">-(C18-C17)+(C20-C19)</f>
        <v>99557.204878063407</v>
      </c>
      <c r="D21" s="51">
        <f t="shared" si="6"/>
        <v>64992.985234274296</v>
      </c>
      <c r="E21" s="51">
        <f t="shared" si="6"/>
        <v>70476.348959082505</v>
      </c>
      <c r="F21" s="51">
        <f t="shared" si="6"/>
        <v>3281.8987491391599</v>
      </c>
      <c r="G21" s="51">
        <f t="shared" si="6"/>
        <v>2871.9312397458125</v>
      </c>
      <c r="H21" s="51">
        <f t="shared" si="6"/>
        <v>2429.5790428677574</v>
      </c>
      <c r="I21" s="51">
        <f t="shared" si="6"/>
        <v>1953.1182856964879</v>
      </c>
      <c r="J21" s="51">
        <f t="shared" si="6"/>
        <v>1440.7458915947936</v>
      </c>
      <c r="K21" s="51">
        <f t="shared" si="6"/>
        <v>890.57621058542281</v>
      </c>
      <c r="L21" s="51">
        <f t="shared" si="6"/>
        <v>300.63751298561692</v>
      </c>
    </row>
    <row r="22" spans="1:12" x14ac:dyDescent="0.25">
      <c r="A22" s="3" t="s">
        <v>759</v>
      </c>
      <c r="B22" s="60">
        <f>B16+B21</f>
        <v>18070910</v>
      </c>
      <c r="C22" s="60">
        <f t="shared" ref="C22:L22" si="7">C16+C21</f>
        <v>18642567.498276461</v>
      </c>
      <c r="D22" s="60">
        <f t="shared" si="7"/>
        <v>19224667.64411797</v>
      </c>
      <c r="E22" s="60">
        <f t="shared" si="7"/>
        <v>19867858.267816957</v>
      </c>
      <c r="F22" s="60">
        <f t="shared" si="7"/>
        <v>20460146.819997482</v>
      </c>
      <c r="G22" s="60">
        <f t="shared" si="7"/>
        <v>21141754.365774464</v>
      </c>
      <c r="H22" s="60">
        <f t="shared" si="7"/>
        <v>21853551.244193368</v>
      </c>
      <c r="I22" s="60">
        <f t="shared" si="7"/>
        <v>22589827.153678205</v>
      </c>
      <c r="J22" s="60">
        <f t="shared" si="7"/>
        <v>23351438.221225265</v>
      </c>
      <c r="K22" s="60">
        <f t="shared" si="7"/>
        <v>24131729.351628337</v>
      </c>
      <c r="L22" s="60">
        <f t="shared" si="7"/>
        <v>24938745.188653607</v>
      </c>
    </row>
    <row r="24" spans="1:12" x14ac:dyDescent="0.25">
      <c r="A24" s="3" t="s">
        <v>911</v>
      </c>
    </row>
    <row r="25" spans="1:12" x14ac:dyDescent="0.25">
      <c r="A25" s="98" t="s">
        <v>750</v>
      </c>
      <c r="B25" s="51">
        <f>-'Note 3'!C81</f>
        <v>1805827</v>
      </c>
      <c r="C25" s="51">
        <f>-'Note 3'!D81</f>
        <v>1279647.6403627086</v>
      </c>
      <c r="D25" s="51">
        <f>-'Note 3'!E81</f>
        <v>1256975.1457739754</v>
      </c>
      <c r="E25" s="51">
        <f>-'Note 3'!F81</f>
        <v>1202395.9955940337</v>
      </c>
      <c r="F25" s="51">
        <f>-'Note 3'!G81</f>
        <v>1224214.6379911867</v>
      </c>
      <c r="G25" s="51">
        <f>-'Note 3'!H81</f>
        <v>1262448.133510594</v>
      </c>
      <c r="H25" s="51">
        <f>-'Note 3'!I81</f>
        <v>1396037.4316895443</v>
      </c>
      <c r="I25" s="51">
        <f>-'Note 3'!J81</f>
        <v>1471715.0467520119</v>
      </c>
      <c r="J25" s="51">
        <f>-'Note 3'!K81</f>
        <v>1547572.2017682134</v>
      </c>
      <c r="K25" s="51">
        <f>-'Note 3'!L81</f>
        <v>1571414.0722659966</v>
      </c>
      <c r="L25" s="51">
        <f>-'Note 3'!M81</f>
        <v>1630245.9802752854</v>
      </c>
    </row>
    <row r="26" spans="1:12" x14ac:dyDescent="0.25">
      <c r="A26" s="99" t="s">
        <v>961</v>
      </c>
      <c r="B26" s="51">
        <f>142928.49+90318.86</f>
        <v>233247.34999999998</v>
      </c>
      <c r="C26" s="51">
        <f>B27</f>
        <v>266992.78000000003</v>
      </c>
      <c r="D26" s="51">
        <f t="shared" ref="D26:L26" si="8">C27</f>
        <v>288934.4879545783</v>
      </c>
      <c r="E26" s="51">
        <f t="shared" si="8"/>
        <v>306544.37379497563</v>
      </c>
      <c r="F26" s="51">
        <f t="shared" si="8"/>
        <v>325217.47220718942</v>
      </c>
      <c r="G26" s="51">
        <f t="shared" si="8"/>
        <v>335195.91055914742</v>
      </c>
      <c r="H26" s="51">
        <f t="shared" si="8"/>
        <v>345469.748866826</v>
      </c>
      <c r="I26" s="51">
        <f t="shared" si="8"/>
        <v>356047.51561799465</v>
      </c>
      <c r="J26" s="51">
        <f t="shared" si="8"/>
        <v>366937.98099583446</v>
      </c>
      <c r="K26" s="51">
        <f t="shared" si="8"/>
        <v>378150.16363118036</v>
      </c>
      <c r="L26" s="51">
        <f t="shared" si="8"/>
        <v>389693.33754126832</v>
      </c>
    </row>
    <row r="27" spans="1:12" x14ac:dyDescent="0.25">
      <c r="A27" s="99" t="s">
        <v>962</v>
      </c>
      <c r="B27" s="51">
        <f>'Note 6 to 8'!B68+'Note 6 to 8'!B88</f>
        <v>266992.78000000003</v>
      </c>
      <c r="C27" s="51">
        <f>'Note 6 to 8'!C68+'Note 6 to 8'!C88</f>
        <v>288934.4879545783</v>
      </c>
      <c r="D27" s="51">
        <f>'Note 6 to 8'!D68+'Note 6 to 8'!D88</f>
        <v>306544.37379497563</v>
      </c>
      <c r="E27" s="51">
        <f>'Note 6 to 8'!E68+'Note 6 to 8'!E88</f>
        <v>325217.47220718942</v>
      </c>
      <c r="F27" s="51">
        <f>'Note 6 to 8'!F68+'Note 6 to 8'!F88</f>
        <v>335195.91055914742</v>
      </c>
      <c r="G27" s="51">
        <f>'Note 6 to 8'!G68+'Note 6 to 8'!G88</f>
        <v>345469.748866826</v>
      </c>
      <c r="H27" s="51">
        <f>'Note 6 to 8'!H68+'Note 6 to 8'!H88</f>
        <v>356047.51561799465</v>
      </c>
      <c r="I27" s="51">
        <f>'Note 6 to 8'!I68+'Note 6 to 8'!I88</f>
        <v>366937.98099583446</v>
      </c>
      <c r="J27" s="51">
        <f>'Note 6 to 8'!J68+'Note 6 to 8'!J88</f>
        <v>378150.16363118036</v>
      </c>
      <c r="K27" s="51">
        <f>'Note 6 to 8'!K68+'Note 6 to 8'!K88</f>
        <v>389693.33754126832</v>
      </c>
      <c r="L27" s="51">
        <f>'Note 6 to 8'!L68+'Note 6 to 8'!L88</f>
        <v>401577.03926008911</v>
      </c>
    </row>
    <row r="28" spans="1:12" x14ac:dyDescent="0.25">
      <c r="A28" s="99" t="s">
        <v>963</v>
      </c>
      <c r="B28" s="51">
        <v>521186.98</v>
      </c>
      <c r="C28" s="51">
        <f>B29</f>
        <v>445075.26</v>
      </c>
      <c r="D28" s="51">
        <f t="shared" ref="D28:L28" si="9">C29</f>
        <v>398616.56478104688</v>
      </c>
      <c r="E28" s="51">
        <f t="shared" si="9"/>
        <v>387001.89097630861</v>
      </c>
      <c r="F28" s="51">
        <f t="shared" si="9"/>
        <v>363772.54336683208</v>
      </c>
      <c r="G28" s="51">
        <f t="shared" si="9"/>
        <v>369579.88026920118</v>
      </c>
      <c r="H28" s="51">
        <f t="shared" si="9"/>
        <v>381194.55407393945</v>
      </c>
      <c r="I28" s="51">
        <f t="shared" si="9"/>
        <v>398616.56478104688</v>
      </c>
      <c r="J28" s="51">
        <f t="shared" si="9"/>
        <v>421845.91239052342</v>
      </c>
      <c r="K28" s="51">
        <f t="shared" si="9"/>
        <v>445075.25999999995</v>
      </c>
      <c r="L28" s="51">
        <f t="shared" si="9"/>
        <v>450882.59690236906</v>
      </c>
    </row>
    <row r="29" spans="1:12" x14ac:dyDescent="0.25">
      <c r="A29" s="99" t="s">
        <v>964</v>
      </c>
      <c r="B29" s="51">
        <f>'Note 6 to 8'!B73</f>
        <v>445075.26</v>
      </c>
      <c r="C29" s="51">
        <f>'Note 6 to 8'!C73</f>
        <v>398616.56478104688</v>
      </c>
      <c r="D29" s="51">
        <f>'Note 6 to 8'!D73</f>
        <v>387001.89097630861</v>
      </c>
      <c r="E29" s="51">
        <f>'Note 6 to 8'!E73</f>
        <v>363772.54336683208</v>
      </c>
      <c r="F29" s="51">
        <f>'Note 6 to 8'!F73</f>
        <v>369579.88026920118</v>
      </c>
      <c r="G29" s="51">
        <f>'Note 6 to 8'!G73</f>
        <v>381194.55407393945</v>
      </c>
      <c r="H29" s="51">
        <f>'Note 6 to 8'!H73</f>
        <v>398616.56478104688</v>
      </c>
      <c r="I29" s="51">
        <f>'Note 6 to 8'!I73</f>
        <v>421845.91239052342</v>
      </c>
      <c r="J29" s="51">
        <f>'Note 6 to 8'!J73</f>
        <v>445075.25999999995</v>
      </c>
      <c r="K29" s="51">
        <f>'Note 6 to 8'!K73</f>
        <v>450882.59690236906</v>
      </c>
      <c r="L29" s="51">
        <f>'Note 6 to 8'!L73</f>
        <v>468304.60760947649</v>
      </c>
    </row>
    <row r="30" spans="1:12" x14ac:dyDescent="0.25">
      <c r="A30" s="98" t="s">
        <v>753</v>
      </c>
      <c r="B30" s="51">
        <f>-(B27-B26)-(B29-B28)</f>
        <v>42366.289999999921</v>
      </c>
      <c r="C30" s="51">
        <f t="shared" ref="C30:L30" si="10">-(C27-C26)-(C29-C28)</f>
        <v>24516.987264374853</v>
      </c>
      <c r="D30" s="51">
        <f t="shared" si="10"/>
        <v>-5995.2120356590603</v>
      </c>
      <c r="E30" s="51">
        <f t="shared" si="10"/>
        <v>4556.2491972627467</v>
      </c>
      <c r="F30" s="51">
        <f t="shared" si="10"/>
        <v>-15785.775254327105</v>
      </c>
      <c r="G30" s="51">
        <f t="shared" si="10"/>
        <v>-21888.512112416851</v>
      </c>
      <c r="H30" s="51">
        <f t="shared" si="10"/>
        <v>-27999.777458276076</v>
      </c>
      <c r="I30" s="51">
        <f t="shared" si="10"/>
        <v>-34119.812987316342</v>
      </c>
      <c r="J30" s="51">
        <f t="shared" si="10"/>
        <v>-34441.530244822439</v>
      </c>
      <c r="K30" s="51">
        <f t="shared" si="10"/>
        <v>-17350.510812457069</v>
      </c>
      <c r="L30" s="51">
        <f t="shared" si="10"/>
        <v>-29305.712425928214</v>
      </c>
    </row>
    <row r="31" spans="1:12" x14ac:dyDescent="0.25">
      <c r="A31" s="3" t="s">
        <v>965</v>
      </c>
      <c r="B31" s="60">
        <f>B25+B30</f>
        <v>1848193.29</v>
      </c>
      <c r="C31" s="60">
        <f t="shared" ref="C31:L31" si="11">C25+C30</f>
        <v>1304164.6276270836</v>
      </c>
      <c r="D31" s="60">
        <f t="shared" si="11"/>
        <v>1250979.9337383164</v>
      </c>
      <c r="E31" s="60">
        <f t="shared" si="11"/>
        <v>1206952.2447912965</v>
      </c>
      <c r="F31" s="60">
        <f t="shared" si="11"/>
        <v>1208428.8627368596</v>
      </c>
      <c r="G31" s="60">
        <f t="shared" si="11"/>
        <v>1240559.6213981772</v>
      </c>
      <c r="H31" s="60">
        <f t="shared" si="11"/>
        <v>1368037.6542312682</v>
      </c>
      <c r="I31" s="60">
        <f t="shared" si="11"/>
        <v>1437595.2337646955</v>
      </c>
      <c r="J31" s="60">
        <f t="shared" si="11"/>
        <v>1513130.671523391</v>
      </c>
      <c r="K31" s="60">
        <f t="shared" si="11"/>
        <v>1554063.5614535394</v>
      </c>
      <c r="L31" s="60">
        <f t="shared" si="11"/>
        <v>1600940.2678493573</v>
      </c>
    </row>
    <row r="33" spans="1:14" x14ac:dyDescent="0.25">
      <c r="A33" s="3" t="s">
        <v>912</v>
      </c>
    </row>
    <row r="34" spans="1:14" x14ac:dyDescent="0.25">
      <c r="A34" s="98" t="s">
        <v>750</v>
      </c>
      <c r="B34" s="51">
        <f>-'Note 3'!C128-'Note 3'!C153</f>
        <v>11550250</v>
      </c>
      <c r="C34" s="51">
        <f>-'Note 3'!D128-'Note 3'!D153</f>
        <v>12223981.25</v>
      </c>
      <c r="D34" s="51">
        <f>-'Note 3'!E128-'Note 3'!E153</f>
        <v>12429730.781249998</v>
      </c>
      <c r="E34" s="51">
        <f>-'Note 3'!F128-'Note 3'!F153</f>
        <v>12590624.050781248</v>
      </c>
      <c r="F34" s="51">
        <f>-'Note 3'!G128-'Note 3'!G153</f>
        <v>12806789.652050778</v>
      </c>
      <c r="G34" s="51">
        <f>-'Note 3'!H128-'Note 3'!H153</f>
        <v>13028359.393352047</v>
      </c>
      <c r="H34" s="51">
        <f>-'Note 3'!I128-'Note 3'!I153</f>
        <v>13255468.378185846</v>
      </c>
      <c r="I34" s="51">
        <f>-'Note 3'!J128-'Note 3'!J153</f>
        <v>13488255.087640492</v>
      </c>
      <c r="J34" s="51">
        <f>-'Note 3'!K128-'Note 3'!K153</f>
        <v>13726861.464831505</v>
      </c>
      <c r="K34" s="51">
        <f>-'Note 3'!L128-'Note 3'!L153</f>
        <v>13971433.00145229</v>
      </c>
      <c r="L34" s="51">
        <f>-'Note 3'!M128-'Note 3'!M153</f>
        <v>14222118.826488595</v>
      </c>
    </row>
    <row r="35" spans="1:14" x14ac:dyDescent="0.25">
      <c r="A35" s="99" t="s">
        <v>966</v>
      </c>
      <c r="B35" s="51">
        <v>487313.88</v>
      </c>
      <c r="C35" s="51">
        <f>B36</f>
        <v>727916.61</v>
      </c>
      <c r="D35" s="51">
        <f t="shared" ref="D35:L35" si="12">C36</f>
        <v>746114.52524999995</v>
      </c>
      <c r="E35" s="51">
        <f t="shared" si="12"/>
        <v>764767.38838124985</v>
      </c>
      <c r="F35" s="51">
        <f t="shared" si="12"/>
        <v>783886.57309078099</v>
      </c>
      <c r="G35" s="51">
        <f t="shared" si="12"/>
        <v>803483.73741805041</v>
      </c>
      <c r="H35" s="51">
        <f t="shared" si="12"/>
        <v>823570.83085350157</v>
      </c>
      <c r="I35" s="51">
        <f t="shared" si="12"/>
        <v>844160.10162483901</v>
      </c>
      <c r="J35" s="51">
        <f t="shared" si="12"/>
        <v>865264.10416545987</v>
      </c>
      <c r="K35" s="51">
        <f t="shared" si="12"/>
        <v>886895.70676959632</v>
      </c>
      <c r="L35" s="51">
        <f t="shared" si="12"/>
        <v>909068.0994388361</v>
      </c>
    </row>
    <row r="36" spans="1:14" x14ac:dyDescent="0.25">
      <c r="A36" s="99" t="s">
        <v>967</v>
      </c>
      <c r="B36" s="51">
        <f>'Note 6 to 8'!B75</f>
        <v>727916.61</v>
      </c>
      <c r="C36" s="51">
        <f>'Note 6 to 8'!C75</f>
        <v>746114.52524999995</v>
      </c>
      <c r="D36" s="51">
        <f>'Note 6 to 8'!D75</f>
        <v>764767.38838124985</v>
      </c>
      <c r="E36" s="51">
        <f>'Note 6 to 8'!E75</f>
        <v>783886.57309078099</v>
      </c>
      <c r="F36" s="51">
        <f>'Note 6 to 8'!F75</f>
        <v>803483.73741805041</v>
      </c>
      <c r="G36" s="51">
        <f>'Note 6 to 8'!G75</f>
        <v>823570.83085350157</v>
      </c>
      <c r="H36" s="51">
        <f>'Note 6 to 8'!H75</f>
        <v>844160.10162483901</v>
      </c>
      <c r="I36" s="51">
        <f>'Note 6 to 8'!I75</f>
        <v>865264.10416545987</v>
      </c>
      <c r="J36" s="51">
        <f>'Note 6 to 8'!J75</f>
        <v>886895.70676959632</v>
      </c>
      <c r="K36" s="51">
        <f>'Note 6 to 8'!K75</f>
        <v>909068.0994388361</v>
      </c>
      <c r="L36" s="51">
        <f>'Note 6 to 8'!L75</f>
        <v>931794.8019248069</v>
      </c>
    </row>
    <row r="37" spans="1:14" x14ac:dyDescent="0.25">
      <c r="A37" s="98" t="s">
        <v>753</v>
      </c>
      <c r="B37" s="51">
        <f>-(B36-B35)</f>
        <v>-240602.72999999998</v>
      </c>
      <c r="C37" s="51">
        <f t="shared" ref="C37:L37" si="13">-(C36-C35)</f>
        <v>-18197.915249999962</v>
      </c>
      <c r="D37" s="51">
        <f t="shared" si="13"/>
        <v>-18652.863131249906</v>
      </c>
      <c r="E37" s="51">
        <f t="shared" si="13"/>
        <v>-19119.184709531139</v>
      </c>
      <c r="F37" s="51">
        <f t="shared" si="13"/>
        <v>-19597.16432726942</v>
      </c>
      <c r="G37" s="51">
        <f t="shared" si="13"/>
        <v>-20087.093435451156</v>
      </c>
      <c r="H37" s="51">
        <f t="shared" si="13"/>
        <v>-20589.27077133744</v>
      </c>
      <c r="I37" s="51">
        <f t="shared" si="13"/>
        <v>-21104.002540620859</v>
      </c>
      <c r="J37" s="51">
        <f t="shared" si="13"/>
        <v>-21631.602604136453</v>
      </c>
      <c r="K37" s="51">
        <f t="shared" si="13"/>
        <v>-22172.39266923978</v>
      </c>
      <c r="L37" s="51">
        <f t="shared" si="13"/>
        <v>-22726.702485970804</v>
      </c>
    </row>
    <row r="38" spans="1:14" x14ac:dyDescent="0.25">
      <c r="A38" s="3" t="s">
        <v>968</v>
      </c>
      <c r="B38" s="60">
        <f>B34+B37</f>
        <v>11309647.27</v>
      </c>
      <c r="C38" s="60">
        <f t="shared" ref="C38:L38" si="14">C34+C37</f>
        <v>12205783.33475</v>
      </c>
      <c r="D38" s="60">
        <f t="shared" si="14"/>
        <v>12411077.918118749</v>
      </c>
      <c r="E38" s="60">
        <f t="shared" si="14"/>
        <v>12571504.866071718</v>
      </c>
      <c r="F38" s="60">
        <f t="shared" si="14"/>
        <v>12787192.487723509</v>
      </c>
      <c r="G38" s="60">
        <f t="shared" si="14"/>
        <v>13008272.299916595</v>
      </c>
      <c r="H38" s="60">
        <f t="shared" si="14"/>
        <v>13234879.107414508</v>
      </c>
      <c r="I38" s="60">
        <f t="shared" si="14"/>
        <v>13467151.085099872</v>
      </c>
      <c r="J38" s="60">
        <f t="shared" si="14"/>
        <v>13705229.862227369</v>
      </c>
      <c r="K38" s="60">
        <f t="shared" si="14"/>
        <v>13949260.60878305</v>
      </c>
      <c r="L38" s="60">
        <f t="shared" si="14"/>
        <v>14199392.124002624</v>
      </c>
    </row>
    <row r="40" spans="1:14" x14ac:dyDescent="0.25">
      <c r="A40" s="3" t="s">
        <v>969</v>
      </c>
    </row>
    <row r="41" spans="1:14" x14ac:dyDescent="0.25">
      <c r="A41" s="99" t="s">
        <v>970</v>
      </c>
      <c r="B41" s="51">
        <v>-5567668.5800000001</v>
      </c>
      <c r="C41" s="51">
        <f>B42</f>
        <v>-6267842.2000000002</v>
      </c>
      <c r="D41" s="51">
        <f t="shared" ref="D41:L41" si="15">C42</f>
        <v>-6498196.0715658925</v>
      </c>
      <c r="E41" s="51">
        <f t="shared" si="15"/>
        <v>-6737015.8400788065</v>
      </c>
      <c r="F41" s="51">
        <f t="shared" si="15"/>
        <v>-6984612.6416643495</v>
      </c>
      <c r="G41" s="51">
        <f t="shared" si="15"/>
        <v>-7241309.0472304402</v>
      </c>
      <c r="H41" s="51">
        <f t="shared" si="15"/>
        <v>-7507439.4827150246</v>
      </c>
      <c r="I41" s="51">
        <f t="shared" si="15"/>
        <v>-7783350.6647786135</v>
      </c>
      <c r="J41" s="51">
        <f t="shared" si="15"/>
        <v>-8069402.0525092604</v>
      </c>
      <c r="K41" s="51">
        <f t="shared" si="15"/>
        <v>-8365966.3157284688</v>
      </c>
      <c r="L41" s="51">
        <f t="shared" si="15"/>
        <v>-8673429.8205081355</v>
      </c>
    </row>
    <row r="42" spans="1:14" x14ac:dyDescent="0.25">
      <c r="A42" s="99" t="s">
        <v>971</v>
      </c>
      <c r="B42" s="51">
        <f>'Note 10 to 11'!B16</f>
        <v>-6267842.2000000002</v>
      </c>
      <c r="C42" s="51">
        <f>'Note 10 to 11'!C16</f>
        <v>-6498196.0715658925</v>
      </c>
      <c r="D42" s="51">
        <f>'Note 10 to 11'!D16</f>
        <v>-6737015.8400788065</v>
      </c>
      <c r="E42" s="51">
        <f>'Note 10 to 11'!E16</f>
        <v>-6984612.6416643495</v>
      </c>
      <c r="F42" s="51">
        <f>'Note 10 to 11'!F16</f>
        <v>-7241309.0472304402</v>
      </c>
      <c r="G42" s="51">
        <f>'Note 10 to 11'!G16</f>
        <v>-7507439.4827150246</v>
      </c>
      <c r="H42" s="51">
        <f>'Note 10 to 11'!H16</f>
        <v>-7783350.6647786135</v>
      </c>
      <c r="I42" s="51">
        <f>'Note 10 to 11'!I16</f>
        <v>-8069402.0525092604</v>
      </c>
      <c r="J42" s="51">
        <f>'Note 10 to 11'!J16</f>
        <v>-8365966.3157284688</v>
      </c>
      <c r="K42" s="51">
        <f>'Note 10 to 11'!K16</f>
        <v>-8673429.8205081355</v>
      </c>
      <c r="L42" s="51">
        <f>'Note 10 to 11'!L16</f>
        <v>-8992193.1325310692</v>
      </c>
    </row>
    <row r="43" spans="1:14" x14ac:dyDescent="0.25">
      <c r="A43" s="98" t="s">
        <v>753</v>
      </c>
      <c r="B43" s="51">
        <f>-(B42-B41)</f>
        <v>700173.62000000011</v>
      </c>
      <c r="C43" s="51">
        <f t="shared" ref="C43:L43" si="16">-(C42-C41)</f>
        <v>230353.87156589236</v>
      </c>
      <c r="D43" s="51">
        <f t="shared" si="16"/>
        <v>238819.76851291396</v>
      </c>
      <c r="E43" s="51">
        <f t="shared" si="16"/>
        <v>247596.80158554297</v>
      </c>
      <c r="F43" s="51">
        <f t="shared" si="16"/>
        <v>256696.40556609072</v>
      </c>
      <c r="G43" s="51">
        <f t="shared" si="16"/>
        <v>266130.43548458442</v>
      </c>
      <c r="H43" s="51">
        <f t="shared" si="16"/>
        <v>275911.18206358887</v>
      </c>
      <c r="I43" s="51">
        <f t="shared" si="16"/>
        <v>286051.38773064688</v>
      </c>
      <c r="J43" s="51">
        <f t="shared" si="16"/>
        <v>296564.26321920846</v>
      </c>
      <c r="K43" s="51">
        <f t="shared" si="16"/>
        <v>307463.50477966666</v>
      </c>
      <c r="L43" s="51">
        <f t="shared" si="16"/>
        <v>318763.31202293374</v>
      </c>
    </row>
    <row r="44" spans="1:14" x14ac:dyDescent="0.25">
      <c r="A44" s="3" t="s">
        <v>972</v>
      </c>
      <c r="B44" s="60">
        <f>B43</f>
        <v>700173.62000000011</v>
      </c>
      <c r="C44" s="60">
        <f t="shared" ref="C44:L44" si="17">C43</f>
        <v>230353.87156589236</v>
      </c>
      <c r="D44" s="60">
        <f t="shared" si="17"/>
        <v>238819.76851291396</v>
      </c>
      <c r="E44" s="60">
        <f t="shared" si="17"/>
        <v>247596.80158554297</v>
      </c>
      <c r="F44" s="60">
        <f t="shared" si="17"/>
        <v>256696.40556609072</v>
      </c>
      <c r="G44" s="60">
        <f t="shared" si="17"/>
        <v>266130.43548458442</v>
      </c>
      <c r="H44" s="60">
        <f t="shared" si="17"/>
        <v>275911.18206358887</v>
      </c>
      <c r="I44" s="60">
        <f t="shared" si="17"/>
        <v>286051.38773064688</v>
      </c>
      <c r="J44" s="60">
        <f t="shared" si="17"/>
        <v>296564.26321920846</v>
      </c>
      <c r="K44" s="60">
        <f t="shared" si="17"/>
        <v>307463.50477966666</v>
      </c>
      <c r="L44" s="60">
        <f t="shared" si="17"/>
        <v>318763.31202293374</v>
      </c>
    </row>
    <row r="46" spans="1:14" x14ac:dyDescent="0.25">
      <c r="A46" s="3" t="s">
        <v>522</v>
      </c>
    </row>
    <row r="47" spans="1:14" x14ac:dyDescent="0.25">
      <c r="A47" s="98" t="s">
        <v>750</v>
      </c>
      <c r="B47" s="51">
        <f>-'Note 3'!C94</f>
        <v>8542325</v>
      </c>
      <c r="C47" s="51">
        <f>-'Note 3'!D94</f>
        <v>8584499.4285376128</v>
      </c>
      <c r="D47" s="51">
        <f>-'Note 3'!E94</f>
        <v>8874800.6793024503</v>
      </c>
      <c r="E47" s="51">
        <f>-'Note 3'!F94</f>
        <v>9144949.9303555079</v>
      </c>
      <c r="F47" s="51">
        <f>-'Note 3'!G94</f>
        <v>9423453.1623671427</v>
      </c>
      <c r="G47" s="51">
        <f>-'Note 3'!H94</f>
        <v>9710712.0748328343</v>
      </c>
      <c r="H47" s="51">
        <f>-'Note 3'!I94</f>
        <v>10007240.941164471</v>
      </c>
      <c r="I47" s="51">
        <f>-'Note 3'!J94</f>
        <v>10313369.979445273</v>
      </c>
      <c r="J47" s="51">
        <f>-'Note 3'!K94</f>
        <v>10628822.9806192</v>
      </c>
      <c r="K47" s="51">
        <f>-'Note 3'!L94</f>
        <v>10954223.966608299</v>
      </c>
      <c r="L47" s="51">
        <f>-'Note 3'!M94</f>
        <v>11289894.89072139</v>
      </c>
    </row>
    <row r="48" spans="1:14" x14ac:dyDescent="0.25">
      <c r="A48" s="99" t="s">
        <v>973</v>
      </c>
      <c r="B48" s="51">
        <f>1181827.05+998154</f>
        <v>2179981.0499999998</v>
      </c>
      <c r="C48" s="51">
        <f>B49</f>
        <v>2068015</v>
      </c>
      <c r="D48" s="51">
        <f t="shared" ref="D48:L48" si="18">C49</f>
        <v>2144018.0719513549</v>
      </c>
      <c r="E48" s="51">
        <f t="shared" si="18"/>
        <v>2222814.3861886906</v>
      </c>
      <c r="F48" s="51">
        <f t="shared" si="18"/>
        <v>2304506.5991213853</v>
      </c>
      <c r="G48" s="51">
        <f t="shared" si="18"/>
        <v>2389201.139956628</v>
      </c>
      <c r="H48" s="51">
        <f t="shared" si="18"/>
        <v>2477008.3493561642</v>
      </c>
      <c r="I48" s="51">
        <f t="shared" si="18"/>
        <v>2568042.6231889091</v>
      </c>
      <c r="J48" s="51">
        <f t="shared" si="18"/>
        <v>2662422.5615667123</v>
      </c>
      <c r="K48" s="51">
        <f t="shared" si="18"/>
        <v>2760271.1233574464</v>
      </c>
      <c r="L48" s="51">
        <f t="shared" si="18"/>
        <v>2861715.78637671</v>
      </c>
      <c r="N48" s="51"/>
    </row>
    <row r="49" spans="1:12" x14ac:dyDescent="0.25">
      <c r="A49" s="99" t="s">
        <v>974</v>
      </c>
      <c r="B49" s="51">
        <f>'Note 6 to 8'!B74+'Note 6 to 8'!B76+'Note 6 to 8'!B77</f>
        <v>2068015</v>
      </c>
      <c r="C49" s="51">
        <f>'Note 6 to 8'!C74+'Note 6 to 8'!C76+'Note 6 to 8'!C77</f>
        <v>2144018.0719513549</v>
      </c>
      <c r="D49" s="51">
        <f>'Note 6 to 8'!D74+'Note 6 to 8'!D76+'Note 6 to 8'!D77</f>
        <v>2222814.3861886906</v>
      </c>
      <c r="E49" s="51">
        <f>'Note 6 to 8'!E74+'Note 6 to 8'!E76+'Note 6 to 8'!E77</f>
        <v>2304506.5991213853</v>
      </c>
      <c r="F49" s="51">
        <f>'Note 6 to 8'!F74+'Note 6 to 8'!F76+'Note 6 to 8'!F77</f>
        <v>2389201.139956628</v>
      </c>
      <c r="G49" s="51">
        <f>'Note 6 to 8'!G74+'Note 6 to 8'!G76+'Note 6 to 8'!G77</f>
        <v>2477008.3493561642</v>
      </c>
      <c r="H49" s="51">
        <f>'Note 6 to 8'!H74+'Note 6 to 8'!H76+'Note 6 to 8'!H77</f>
        <v>2568042.6231889091</v>
      </c>
      <c r="I49" s="51">
        <f>'Note 6 to 8'!I74+'Note 6 to 8'!I76+'Note 6 to 8'!I77</f>
        <v>2662422.5615667123</v>
      </c>
      <c r="J49" s="51">
        <f>'Note 6 to 8'!J74+'Note 6 to 8'!J76+'Note 6 to 8'!J77</f>
        <v>2760271.1233574464</v>
      </c>
      <c r="K49" s="51">
        <f>'Note 6 to 8'!K74+'Note 6 to 8'!K76+'Note 6 to 8'!K77</f>
        <v>2861715.78637671</v>
      </c>
      <c r="L49" s="51">
        <f>'Note 6 to 8'!L74+'Note 6 to 8'!L76+'Note 6 to 8'!L77</f>
        <v>2966888.713466851</v>
      </c>
    </row>
    <row r="50" spans="1:12" x14ac:dyDescent="0.25">
      <c r="A50" s="98" t="s">
        <v>753</v>
      </c>
      <c r="B50" s="51">
        <f>-(B49-B48)</f>
        <v>111966.04999999981</v>
      </c>
      <c r="C50" s="51">
        <f t="shared" ref="C50:L50" si="19">-(C49-C48)</f>
        <v>-76003.071951354854</v>
      </c>
      <c r="D50" s="51">
        <f t="shared" si="19"/>
        <v>-78796.314237335697</v>
      </c>
      <c r="E50" s="51">
        <f t="shared" si="19"/>
        <v>-81692.212932694703</v>
      </c>
      <c r="F50" s="51">
        <f t="shared" si="19"/>
        <v>-84694.540835242718</v>
      </c>
      <c r="G50" s="51">
        <f t="shared" si="19"/>
        <v>-87807.209399536252</v>
      </c>
      <c r="H50" s="51">
        <f t="shared" si="19"/>
        <v>-91034.273832744919</v>
      </c>
      <c r="I50" s="51">
        <f t="shared" si="19"/>
        <v>-94379.938377803192</v>
      </c>
      <c r="J50" s="51">
        <f t="shared" si="19"/>
        <v>-97848.561790734064</v>
      </c>
      <c r="K50" s="51">
        <f t="shared" si="19"/>
        <v>-101444.66301926365</v>
      </c>
      <c r="L50" s="51">
        <f t="shared" si="19"/>
        <v>-105172.92709014099</v>
      </c>
    </row>
    <row r="51" spans="1:12" x14ac:dyDescent="0.25">
      <c r="A51" s="3" t="s">
        <v>975</v>
      </c>
      <c r="B51" s="60">
        <f>B47+B50</f>
        <v>8654291.0500000007</v>
      </c>
      <c r="C51" s="60">
        <f t="shared" ref="C51:L51" si="20">C47+C50</f>
        <v>8508496.3565862589</v>
      </c>
      <c r="D51" s="60">
        <f t="shared" si="20"/>
        <v>8796004.3650651146</v>
      </c>
      <c r="E51" s="60">
        <f t="shared" si="20"/>
        <v>9063257.7174228132</v>
      </c>
      <c r="F51" s="60">
        <f t="shared" si="20"/>
        <v>9338758.6215319</v>
      </c>
      <c r="G51" s="60">
        <f t="shared" si="20"/>
        <v>9622904.8654332981</v>
      </c>
      <c r="H51" s="60">
        <f t="shared" si="20"/>
        <v>9916206.6673317254</v>
      </c>
      <c r="I51" s="60">
        <f t="shared" si="20"/>
        <v>10218990.04106747</v>
      </c>
      <c r="J51" s="60">
        <f t="shared" si="20"/>
        <v>10530974.418828465</v>
      </c>
      <c r="K51" s="60">
        <f t="shared" si="20"/>
        <v>10852779.303589035</v>
      </c>
      <c r="L51" s="60">
        <f t="shared" si="20"/>
        <v>11184721.96363125</v>
      </c>
    </row>
    <row r="53" spans="1:12" x14ac:dyDescent="0.25">
      <c r="A53" s="97" t="s">
        <v>914</v>
      </c>
    </row>
    <row r="54" spans="1:12" x14ac:dyDescent="0.25">
      <c r="A54" s="3" t="s">
        <v>976</v>
      </c>
    </row>
    <row r="55" spans="1:12" x14ac:dyDescent="0.25">
      <c r="A55" s="98" t="s">
        <v>750</v>
      </c>
      <c r="B55" s="51">
        <f>-'Note 4 to 5'!C21</f>
        <v>-62033885.766044669</v>
      </c>
      <c r="C55" s="51">
        <f>-'Note 4 to 5'!D21</f>
        <v>-64355997.331255168</v>
      </c>
      <c r="D55" s="51">
        <f>-'Note 4 to 5'!E21</f>
        <v>-66715788.442652471</v>
      </c>
      <c r="E55" s="51">
        <f>-'Note 4 to 5'!F21</f>
        <v>-69165055.916526094</v>
      </c>
      <c r="F55" s="51">
        <f>-'Note 4 to 5'!G21</f>
        <v>-71957174.841981485</v>
      </c>
      <c r="G55" s="51">
        <f>-'Note 4 to 5'!H21</f>
        <v>-74866182.169479236</v>
      </c>
      <c r="H55" s="51">
        <f>-'Note 4 to 5'!I21</f>
        <v>-77897071.794142574</v>
      </c>
      <c r="I55" s="51">
        <f>-'Note 4 to 5'!J21</f>
        <v>-81055053.087648869</v>
      </c>
      <c r="J55" s="51">
        <f>-'Note 4 to 5'!K21</f>
        <v>-84345560.230248854</v>
      </c>
      <c r="K55" s="51">
        <f>-'Note 4 to 5'!L21</f>
        <v>-87469240.325627342</v>
      </c>
      <c r="L55" s="51">
        <f>-'Note 4 to 5'!M21</f>
        <v>-90712218.613365591</v>
      </c>
    </row>
    <row r="56" spans="1:12" x14ac:dyDescent="0.25">
      <c r="A56" s="99" t="s">
        <v>977</v>
      </c>
      <c r="B56" s="51">
        <v>-777972.87</v>
      </c>
      <c r="C56" s="51">
        <f>B57</f>
        <v>-956194.59</v>
      </c>
      <c r="D56" s="51">
        <f t="shared" ref="D56:L56" si="21">C57</f>
        <v>-995082.00716365606</v>
      </c>
      <c r="E56" s="51">
        <f t="shared" si="21"/>
        <v>-1035550.9342307097</v>
      </c>
      <c r="F56" s="51">
        <f t="shared" si="21"/>
        <v>-1077665.689527164</v>
      </c>
      <c r="G56" s="51">
        <f t="shared" si="21"/>
        <v>-1121493.2071369444</v>
      </c>
      <c r="H56" s="51">
        <f t="shared" si="21"/>
        <v>-1167103.143281993</v>
      </c>
      <c r="I56" s="51">
        <f t="shared" si="21"/>
        <v>-1214567.9870287257</v>
      </c>
      <c r="J56" s="51">
        <f t="shared" si="21"/>
        <v>-1263963.1754968052</v>
      </c>
      <c r="K56" s="51">
        <f t="shared" si="21"/>
        <v>-1315367.2137533317</v>
      </c>
      <c r="L56" s="51">
        <f t="shared" si="21"/>
        <v>-1368861.7995830022</v>
      </c>
    </row>
    <row r="57" spans="1:12" x14ac:dyDescent="0.25">
      <c r="A57" s="99" t="s">
        <v>978</v>
      </c>
      <c r="B57" s="51">
        <f>'Note 10 to 11'!B14</f>
        <v>-956194.59</v>
      </c>
      <c r="C57" s="51">
        <f>'Note 10 to 11'!C14</f>
        <v>-995082.00716365606</v>
      </c>
      <c r="D57" s="51">
        <f>'Note 10 to 11'!D14</f>
        <v>-1035550.9342307097</v>
      </c>
      <c r="E57" s="51">
        <f>'Note 10 to 11'!E14</f>
        <v>-1077665.689527164</v>
      </c>
      <c r="F57" s="51">
        <f>'Note 10 to 11'!F14</f>
        <v>-1121493.2071369444</v>
      </c>
      <c r="G57" s="51">
        <f>'Note 10 to 11'!G14</f>
        <v>-1167103.143281993</v>
      </c>
      <c r="H57" s="51">
        <f>'Note 10 to 11'!H14</f>
        <v>-1214567.9870287257</v>
      </c>
      <c r="I57" s="51">
        <f>'Note 10 to 11'!I14</f>
        <v>-1263963.1754968052</v>
      </c>
      <c r="J57" s="51">
        <f>'Note 10 to 11'!J14</f>
        <v>-1315367.2137533317</v>
      </c>
      <c r="K57" s="51">
        <f>'Note 10 to 11'!K14</f>
        <v>-1368861.7995830022</v>
      </c>
      <c r="L57" s="51">
        <f>'Note 10 to 11'!L14</f>
        <v>-1424531.953332541</v>
      </c>
    </row>
    <row r="58" spans="1:12" x14ac:dyDescent="0.25">
      <c r="A58" s="99" t="s">
        <v>979</v>
      </c>
      <c r="B58" s="51">
        <f>-18119681.12-201817.41</f>
        <v>-18321498.530000001</v>
      </c>
      <c r="C58" s="51">
        <f>B59</f>
        <v>-18481344.649999999</v>
      </c>
      <c r="D58" s="51">
        <f t="shared" ref="D58:L58" si="22">C59</f>
        <v>-19152035.006011438</v>
      </c>
      <c r="E58" s="51">
        <f t="shared" si="22"/>
        <v>-19850001.625593718</v>
      </c>
      <c r="F58" s="51">
        <f t="shared" si="22"/>
        <v>-20576353.805380858</v>
      </c>
      <c r="G58" s="51">
        <f t="shared" si="22"/>
        <v>-21332245.955921348</v>
      </c>
      <c r="H58" s="51">
        <f t="shared" si="22"/>
        <v>-22118879.436413106</v>
      </c>
      <c r="I58" s="51">
        <f t="shared" si="22"/>
        <v>-22937504.464055087</v>
      </c>
      <c r="J58" s="51">
        <f t="shared" si="22"/>
        <v>-23789422.101050284</v>
      </c>
      <c r="K58" s="51">
        <f t="shared" si="22"/>
        <v>-24675986.322417922</v>
      </c>
      <c r="L58" s="51">
        <f t="shared" si="22"/>
        <v>-25598606.16790146</v>
      </c>
    </row>
    <row r="59" spans="1:12" x14ac:dyDescent="0.25">
      <c r="A59" s="99" t="s">
        <v>980</v>
      </c>
      <c r="B59" s="51">
        <f>'Note 10 to 11'!B34+'Note 10 to 11'!B38</f>
        <v>-18481344.649999999</v>
      </c>
      <c r="C59" s="51">
        <f>'Note 10 to 11'!C34+'Note 10 to 11'!C38</f>
        <v>-19152035.006011438</v>
      </c>
      <c r="D59" s="51">
        <f>'Note 10 to 11'!D34+'Note 10 to 11'!D38</f>
        <v>-19850001.625593718</v>
      </c>
      <c r="E59" s="51">
        <f>'Note 10 to 11'!E34+'Note 10 to 11'!E38</f>
        <v>-20576353.805380858</v>
      </c>
      <c r="F59" s="51">
        <f>'Note 10 to 11'!F34+'Note 10 to 11'!F38</f>
        <v>-21332245.955921348</v>
      </c>
      <c r="G59" s="51">
        <f>'Note 10 to 11'!G34+'Note 10 to 11'!G38</f>
        <v>-22118879.436413106</v>
      </c>
      <c r="H59" s="51">
        <f>'Note 10 to 11'!H34+'Note 10 to 11'!H38</f>
        <v>-22937504.464055087</v>
      </c>
      <c r="I59" s="51">
        <f>'Note 10 to 11'!I34+'Note 10 to 11'!I38</f>
        <v>-23789422.101050284</v>
      </c>
      <c r="J59" s="51">
        <f>'Note 10 to 11'!J34+'Note 10 to 11'!J38</f>
        <v>-24675986.322417922</v>
      </c>
      <c r="K59" s="51">
        <f>'Note 10 to 11'!K34+'Note 10 to 11'!K38</f>
        <v>-25598606.16790146</v>
      </c>
      <c r="L59" s="51">
        <f>'Note 10 to 11'!L34+'Note 10 to 11'!L38</f>
        <v>-26558747.98139235</v>
      </c>
    </row>
    <row r="60" spans="1:12" x14ac:dyDescent="0.25">
      <c r="A60" s="98" t="s">
        <v>753</v>
      </c>
      <c r="B60" s="51">
        <f>-(B57-B56)-(B59-B58)</f>
        <v>338067.83999999729</v>
      </c>
      <c r="C60" s="51">
        <f t="shared" ref="C60:L60" si="23">-(C57-C56)-(C59-C58)</f>
        <v>709577.77317509521</v>
      </c>
      <c r="D60" s="51">
        <f t="shared" si="23"/>
        <v>738435.54664933414</v>
      </c>
      <c r="E60" s="51">
        <f t="shared" si="23"/>
        <v>768466.93508359464</v>
      </c>
      <c r="F60" s="51">
        <f t="shared" si="23"/>
        <v>799719.66815027012</v>
      </c>
      <c r="G60" s="51">
        <f t="shared" si="23"/>
        <v>832243.41663680598</v>
      </c>
      <c r="H60" s="51">
        <f t="shared" si="23"/>
        <v>866089.87138871453</v>
      </c>
      <c r="I60" s="51">
        <f t="shared" si="23"/>
        <v>901312.82546327589</v>
      </c>
      <c r="J60" s="51">
        <f t="shared" si="23"/>
        <v>937968.25962416502</v>
      </c>
      <c r="K60" s="51">
        <f t="shared" si="23"/>
        <v>976114.4313132083</v>
      </c>
      <c r="L60" s="51">
        <f t="shared" si="23"/>
        <v>1015811.9672404288</v>
      </c>
    </row>
    <row r="61" spans="1:12" x14ac:dyDescent="0.25">
      <c r="A61" s="3" t="s">
        <v>981</v>
      </c>
      <c r="B61" s="60">
        <f>B55+B60</f>
        <v>-61695817.926044673</v>
      </c>
      <c r="C61" s="60">
        <f>C55+C60-C62</f>
        <v>-63646419.55808007</v>
      </c>
      <c r="D61" s="60">
        <f t="shared" ref="D61:L61" si="24">D55+D60-D62</f>
        <v>-65977352.896003135</v>
      </c>
      <c r="E61" s="60">
        <f t="shared" si="24"/>
        <v>-68396588.981442496</v>
      </c>
      <c r="F61" s="60">
        <f t="shared" si="24"/>
        <v>-71157455.17383121</v>
      </c>
      <c r="G61" s="60">
        <f t="shared" si="24"/>
        <v>-74033938.752842426</v>
      </c>
      <c r="H61" s="60">
        <f t="shared" si="24"/>
        <v>-77030981.922753856</v>
      </c>
      <c r="I61" s="60">
        <f t="shared" si="24"/>
        <v>-80153740.262185588</v>
      </c>
      <c r="J61" s="60">
        <f t="shared" si="24"/>
        <v>-83407591.970624685</v>
      </c>
      <c r="K61" s="60">
        <f t="shared" si="24"/>
        <v>-86493125.89431414</v>
      </c>
      <c r="L61" s="60">
        <f t="shared" si="24"/>
        <v>-89696406.646125168</v>
      </c>
    </row>
    <row r="63" spans="1:12" x14ac:dyDescent="0.25">
      <c r="A63" s="3" t="s">
        <v>36</v>
      </c>
    </row>
    <row r="64" spans="1:12" x14ac:dyDescent="0.25">
      <c r="A64" s="98" t="s">
        <v>750</v>
      </c>
      <c r="B64" s="51">
        <f>-'Note 4 to 5'!C39</f>
        <v>-36686881</v>
      </c>
      <c r="C64" s="51">
        <f>-'Note 4 to 5'!D39</f>
        <v>-37604053.024999999</v>
      </c>
      <c r="D64" s="51">
        <f>-'Note 4 to 5'!E39</f>
        <v>-38544154.350625001</v>
      </c>
      <c r="E64" s="51">
        <f>-'Note 4 to 5'!F39</f>
        <v>-39507758.209390625</v>
      </c>
      <c r="F64" s="51">
        <f>-'Note 4 to 5'!G39</f>
        <v>-40495452.164625399</v>
      </c>
      <c r="G64" s="51">
        <f>-'Note 4 to 5'!H39</f>
        <v>-41507838.468741022</v>
      </c>
      <c r="H64" s="51">
        <f>-'Note 4 to 5'!I39</f>
        <v>-42545534.430459559</v>
      </c>
      <c r="I64" s="51">
        <f>-'Note 4 to 5'!J39</f>
        <v>-43609172.791221038</v>
      </c>
      <c r="J64" s="51">
        <f>-'Note 4 to 5'!K39</f>
        <v>-44699402.111001574</v>
      </c>
      <c r="K64" s="51">
        <f>-'Note 4 to 5'!L39</f>
        <v>-45816887.163776614</v>
      </c>
      <c r="L64" s="51">
        <f>-'Note 4 to 5'!M39</f>
        <v>-46962309.342871025</v>
      </c>
    </row>
    <row r="65" spans="1:12" x14ac:dyDescent="0.25">
      <c r="A65" s="99" t="s">
        <v>982</v>
      </c>
      <c r="B65" s="51">
        <f>506677.87-4594952.4</f>
        <v>-4088274.5300000003</v>
      </c>
      <c r="C65" s="51">
        <f>B66</f>
        <v>-3359048.6199999992</v>
      </c>
      <c r="D65" s="51">
        <f t="shared" ref="D65:L65" si="25">C66</f>
        <v>-3443024.8354999996</v>
      </c>
      <c r="E65" s="51">
        <f t="shared" si="25"/>
        <v>-3529100.4563875003</v>
      </c>
      <c r="F65" s="51">
        <f t="shared" si="25"/>
        <v>-3617327.9677971876</v>
      </c>
      <c r="G65" s="51">
        <f t="shared" si="25"/>
        <v>-3707761.1669921177</v>
      </c>
      <c r="H65" s="51">
        <f t="shared" si="25"/>
        <v>-3800455.1961669205</v>
      </c>
      <c r="I65" s="51">
        <f t="shared" si="25"/>
        <v>-3895466.5760710943</v>
      </c>
      <c r="J65" s="51">
        <f t="shared" si="25"/>
        <v>-3992853.2404728718</v>
      </c>
      <c r="K65" s="51">
        <f t="shared" si="25"/>
        <v>-4092674.5714846947</v>
      </c>
      <c r="L65" s="51">
        <f t="shared" si="25"/>
        <v>-4194991.4357718127</v>
      </c>
    </row>
    <row r="66" spans="1:12" x14ac:dyDescent="0.25">
      <c r="A66" s="99" t="s">
        <v>983</v>
      </c>
      <c r="B66" s="51">
        <f>'Note 6 to 8'!B107+'Note 10 to 11'!B10</f>
        <v>-3359048.6199999992</v>
      </c>
      <c r="C66" s="51">
        <f>'Note 6 to 8'!C107+'Note 10 to 11'!C10</f>
        <v>-3443024.8354999996</v>
      </c>
      <c r="D66" s="51">
        <f>'Note 6 to 8'!D107+'Note 10 to 11'!D10</f>
        <v>-3529100.4563875003</v>
      </c>
      <c r="E66" s="51">
        <f>'Note 6 to 8'!E107+'Note 10 to 11'!E10</f>
        <v>-3617327.9677971876</v>
      </c>
      <c r="F66" s="51">
        <f>'Note 6 to 8'!F107+'Note 10 to 11'!F10</f>
        <v>-3707761.1669921177</v>
      </c>
      <c r="G66" s="51">
        <f>'Note 6 to 8'!G107+'Note 10 to 11'!G10</f>
        <v>-3800455.1961669205</v>
      </c>
      <c r="H66" s="51">
        <f>'Note 6 to 8'!H107+'Note 10 to 11'!H10</f>
        <v>-3895466.5760710943</v>
      </c>
      <c r="I66" s="51">
        <f>'Note 6 to 8'!I107+'Note 10 to 11'!I10</f>
        <v>-3992853.2404728718</v>
      </c>
      <c r="J66" s="51">
        <f>'Note 6 to 8'!J107+'Note 10 to 11'!J10</f>
        <v>-4092674.5714846947</v>
      </c>
      <c r="K66" s="51">
        <f>'Note 6 to 8'!K107+'Note 10 to 11'!K10</f>
        <v>-4194991.4357718127</v>
      </c>
      <c r="L66" s="51">
        <f>'Note 6 to 8'!L107+'Note 10 to 11'!L10</f>
        <v>-4299866.2216661088</v>
      </c>
    </row>
    <row r="67" spans="1:12" x14ac:dyDescent="0.25">
      <c r="A67" s="98" t="s">
        <v>753</v>
      </c>
      <c r="B67" s="51">
        <f>-(B66-B65)</f>
        <v>-729225.91000000108</v>
      </c>
      <c r="C67" s="51">
        <f t="shared" ref="C67:L67" si="26">-(C66-C65)</f>
        <v>83976.215500000399</v>
      </c>
      <c r="D67" s="51">
        <f t="shared" si="26"/>
        <v>86075.6208875007</v>
      </c>
      <c r="E67" s="51">
        <f t="shared" si="26"/>
        <v>88227.511409687344</v>
      </c>
      <c r="F67" s="51">
        <f t="shared" si="26"/>
        <v>90433.199194930028</v>
      </c>
      <c r="G67" s="51">
        <f t="shared" si="26"/>
        <v>92694.029174802825</v>
      </c>
      <c r="H67" s="51">
        <f t="shared" si="26"/>
        <v>95011.37990417378</v>
      </c>
      <c r="I67" s="51">
        <f t="shared" si="26"/>
        <v>97386.664401777554</v>
      </c>
      <c r="J67" s="51">
        <f t="shared" si="26"/>
        <v>99821.331011822913</v>
      </c>
      <c r="K67" s="51">
        <f t="shared" si="26"/>
        <v>102316.86428711796</v>
      </c>
      <c r="L67" s="51">
        <f t="shared" si="26"/>
        <v>104874.78589429613</v>
      </c>
    </row>
    <row r="68" spans="1:12" x14ac:dyDescent="0.25">
      <c r="A68" s="3" t="s">
        <v>984</v>
      </c>
      <c r="B68" s="60">
        <f>B64+B67</f>
        <v>-37416106.910000004</v>
      </c>
      <c r="C68" s="60">
        <f t="shared" ref="C68:L68" si="27">C64+C67</f>
        <v>-37520076.809500001</v>
      </c>
      <c r="D68" s="60">
        <f t="shared" si="27"/>
        <v>-38458078.729737498</v>
      </c>
      <c r="E68" s="60">
        <f t="shared" si="27"/>
        <v>-39419530.69798094</v>
      </c>
      <c r="F68" s="60">
        <f t="shared" si="27"/>
        <v>-40405018.965430468</v>
      </c>
      <c r="G68" s="60">
        <f t="shared" si="27"/>
        <v>-41415144.439566217</v>
      </c>
      <c r="H68" s="60">
        <f t="shared" si="27"/>
        <v>-42450523.050555386</v>
      </c>
      <c r="I68" s="60">
        <f t="shared" si="27"/>
        <v>-43511786.12681926</v>
      </c>
      <c r="J68" s="60">
        <f t="shared" si="27"/>
        <v>-44599580.779989749</v>
      </c>
      <c r="K68" s="60">
        <f t="shared" si="27"/>
        <v>-45714570.299489498</v>
      </c>
      <c r="L68" s="60">
        <f t="shared" si="27"/>
        <v>-46857434.556976728</v>
      </c>
    </row>
    <row r="70" spans="1:12" x14ac:dyDescent="0.25">
      <c r="A70" s="3" t="s">
        <v>522</v>
      </c>
    </row>
    <row r="71" spans="1:12" x14ac:dyDescent="0.25">
      <c r="A71" s="98" t="s">
        <v>750</v>
      </c>
      <c r="B71" s="51">
        <f>-'Note 4 to 5'!C86</f>
        <v>-15863984</v>
      </c>
      <c r="C71" s="51">
        <f>-'Note 4 to 5'!D86</f>
        <v>-16064128.831686577</v>
      </c>
      <c r="D71" s="51">
        <f>-'Note 4 to 5'!E86</f>
        <v>-16537994.952870201</v>
      </c>
      <c r="E71" s="51">
        <f>-'Note 4 to 5'!F86</f>
        <v>-17752889.276368797</v>
      </c>
      <c r="F71" s="51">
        <f>-'Note 4 to 5'!G86</f>
        <v>-17604416.291482236</v>
      </c>
      <c r="G71" s="51">
        <f>-'Note 4 to 5'!H86</f>
        <v>-18167832.226387184</v>
      </c>
      <c r="H71" s="51">
        <f>-'Note 4 to 5'!I86</f>
        <v>-18752846.68668016</v>
      </c>
      <c r="I71" s="51">
        <f>-'Note 4 to 5'!J86</f>
        <v>-20125310.739949811</v>
      </c>
      <c r="J71" s="51">
        <f>-'Note 4 to 5'!K86</f>
        <v>-19990733.378533676</v>
      </c>
      <c r="K71" s="51">
        <f>-'Note 4 to 5'!L86</f>
        <v>-20646178.713794097</v>
      </c>
      <c r="L71" s="51">
        <f>-'Note 4 to 5'!M86</f>
        <v>-21327335.211392652</v>
      </c>
    </row>
    <row r="72" spans="1:12" x14ac:dyDescent="0.25">
      <c r="A72" s="99" t="s">
        <v>985</v>
      </c>
      <c r="B72" s="51">
        <f>1316061.52-1039797.38-260000</f>
        <v>16264.140000000014</v>
      </c>
      <c r="C72" s="51">
        <f>B73</f>
        <v>-4200027.83</v>
      </c>
      <c r="D72" s="51">
        <f t="shared" ref="D72:L72" si="28">C73</f>
        <v>-4288846.8621794917</v>
      </c>
      <c r="E72" s="51">
        <f t="shared" si="28"/>
        <v>-4379530.5525446618</v>
      </c>
      <c r="F72" s="51">
        <f t="shared" si="28"/>
        <v>-4472112.4406468999</v>
      </c>
      <c r="G72" s="51">
        <f t="shared" si="28"/>
        <v>-4566626.4239279199</v>
      </c>
      <c r="H72" s="51">
        <f t="shared" si="28"/>
        <v>-4663106.7490042103</v>
      </c>
      <c r="I72" s="51">
        <f t="shared" si="28"/>
        <v>-4761588.0020844536</v>
      </c>
      <c r="J72" s="51">
        <f t="shared" si="28"/>
        <v>-4862105.0984743852</v>
      </c>
      <c r="K72" s="51">
        <f t="shared" si="28"/>
        <v>-4964693.2711215448</v>
      </c>
      <c r="L72" s="51">
        <f t="shared" si="28"/>
        <v>-5069388.0581502756</v>
      </c>
    </row>
    <row r="73" spans="1:12" x14ac:dyDescent="0.25">
      <c r="A73" s="99" t="s">
        <v>986</v>
      </c>
      <c r="B73" s="51">
        <f>'Note 6 to 8'!B111+'Note 10 to 11'!B15+'Note 10 to 11'!B21</f>
        <v>-4200027.83</v>
      </c>
      <c r="C73" s="51">
        <f>'Note 6 to 8'!C111+'Note 10 to 11'!C15+'Note 10 to 11'!C21</f>
        <v>-4288846.8621794917</v>
      </c>
      <c r="D73" s="51">
        <f>'Note 6 to 8'!D111+'Note 10 to 11'!D15+'Note 10 to 11'!D21</f>
        <v>-4379530.5525446618</v>
      </c>
      <c r="E73" s="51">
        <f>'Note 6 to 8'!E111+'Note 10 to 11'!E15+'Note 10 to 11'!E21</f>
        <v>-4472112.4406468999</v>
      </c>
      <c r="F73" s="51">
        <f>'Note 6 to 8'!F111+'Note 10 to 11'!F15+'Note 10 to 11'!F21</f>
        <v>-4566626.4239279199</v>
      </c>
      <c r="G73" s="51">
        <f>'Note 6 to 8'!G111+'Note 10 to 11'!G15+'Note 10 to 11'!G21</f>
        <v>-4663106.7490042103</v>
      </c>
      <c r="H73" s="51">
        <f>'Note 6 to 8'!H111+'Note 10 to 11'!H15+'Note 10 to 11'!H21</f>
        <v>-4761588.0020844536</v>
      </c>
      <c r="I73" s="51">
        <f>'Note 6 to 8'!I111+'Note 10 to 11'!I15+'Note 10 to 11'!I21</f>
        <v>-4862105.0984743852</v>
      </c>
      <c r="J73" s="51">
        <f>'Note 6 to 8'!J111+'Note 10 to 11'!J15+'Note 10 to 11'!J21</f>
        <v>-4964693.2711215448</v>
      </c>
      <c r="K73" s="51">
        <f>'Note 6 to 8'!K111+'Note 10 to 11'!K15+'Note 10 to 11'!K21</f>
        <v>-5069388.0581502756</v>
      </c>
      <c r="L73" s="51">
        <f>'Note 6 to 8'!L111+'Note 10 to 11'!L15+'Note 10 to 11'!L21</f>
        <v>-5176225.2893351447</v>
      </c>
    </row>
    <row r="74" spans="1:12" x14ac:dyDescent="0.25">
      <c r="A74" s="98" t="s">
        <v>753</v>
      </c>
      <c r="B74" s="51">
        <f>-(B73-B72)</f>
        <v>4216291.97</v>
      </c>
      <c r="C74" s="51">
        <f t="shared" ref="C74:L74" si="29">-(C73-C72)</f>
        <v>88819.032179491594</v>
      </c>
      <c r="D74" s="51">
        <f t="shared" si="29"/>
        <v>90683.690365170129</v>
      </c>
      <c r="E74" s="51">
        <f t="shared" si="29"/>
        <v>92581.888102238066</v>
      </c>
      <c r="F74" s="51">
        <f t="shared" si="29"/>
        <v>94513.983281020075</v>
      </c>
      <c r="G74" s="51">
        <f t="shared" si="29"/>
        <v>96480.325076290406</v>
      </c>
      <c r="H74" s="51">
        <f t="shared" si="29"/>
        <v>98481.253080243245</v>
      </c>
      <c r="I74" s="51">
        <f t="shared" si="29"/>
        <v>100517.09638993163</v>
      </c>
      <c r="J74" s="51">
        <f t="shared" si="29"/>
        <v>102588.17264715955</v>
      </c>
      <c r="K74" s="51">
        <f t="shared" si="29"/>
        <v>104694.78702873085</v>
      </c>
      <c r="L74" s="51">
        <f t="shared" si="29"/>
        <v>106837.23118486907</v>
      </c>
    </row>
    <row r="75" spans="1:12" x14ac:dyDescent="0.25">
      <c r="A75" s="3" t="s">
        <v>975</v>
      </c>
      <c r="B75" s="60">
        <f>B71+B74</f>
        <v>-11647692.030000001</v>
      </c>
      <c r="C75" s="60">
        <f t="shared" ref="C75:L75" si="30">C71+C74</f>
        <v>-15975309.799507085</v>
      </c>
      <c r="D75" s="60">
        <f t="shared" si="30"/>
        <v>-16447311.262505032</v>
      </c>
      <c r="E75" s="60">
        <f t="shared" si="30"/>
        <v>-17660307.38826656</v>
      </c>
      <c r="F75" s="60">
        <f t="shared" si="30"/>
        <v>-17509902.308201216</v>
      </c>
      <c r="G75" s="60">
        <f t="shared" si="30"/>
        <v>-18071351.901310895</v>
      </c>
      <c r="H75" s="60">
        <f t="shared" si="30"/>
        <v>-18654365.433599919</v>
      </c>
      <c r="I75" s="60">
        <f t="shared" si="30"/>
        <v>-20024793.643559881</v>
      </c>
      <c r="J75" s="60">
        <f t="shared" si="30"/>
        <v>-19888145.205886517</v>
      </c>
      <c r="K75" s="60">
        <f t="shared" si="30"/>
        <v>-20541483.926765367</v>
      </c>
      <c r="L75" s="60">
        <f t="shared" si="30"/>
        <v>-21220497.980207782</v>
      </c>
    </row>
    <row r="77" spans="1:12" x14ac:dyDescent="0.25">
      <c r="A77" s="96" t="s">
        <v>916</v>
      </c>
    </row>
    <row r="78" spans="1:12" x14ac:dyDescent="0.25">
      <c r="A78" s="97" t="s">
        <v>748</v>
      </c>
    </row>
    <row r="79" spans="1:12" x14ac:dyDescent="0.25">
      <c r="A79" s="3" t="s">
        <v>918</v>
      </c>
    </row>
    <row r="80" spans="1:12" x14ac:dyDescent="0.25">
      <c r="A80" s="98" t="s">
        <v>750</v>
      </c>
      <c r="B80" s="51">
        <f>'Note 4 to 5'!C98</f>
        <v>1320570.6518488859</v>
      </c>
      <c r="C80" s="51">
        <f>'Note 4 to 5'!D98</f>
        <v>2026768.7432036037</v>
      </c>
      <c r="D80" s="51">
        <f>'Note 4 to 5'!E98</f>
        <v>958043.09432184824</v>
      </c>
      <c r="E80" s="51">
        <f>'Note 4 to 5'!F98</f>
        <v>2112212.0163588161</v>
      </c>
      <c r="F80" s="51">
        <f>'Note 4 to 5'!G98</f>
        <v>1492072.282760869</v>
      </c>
      <c r="G80" s="51">
        <f>'Note 4 to 5'!H98</f>
        <v>1384218.7809164156</v>
      </c>
      <c r="H80" s="51">
        <f>'Note 4 to 5'!I98</f>
        <v>2052354.7153227653</v>
      </c>
      <c r="I80" s="51">
        <f>'Note 4 to 5'!J98</f>
        <v>1403107.3692480517</v>
      </c>
      <c r="J80" s="51">
        <f>'Note 4 to 5'!K98</f>
        <v>1658105.9040875053</v>
      </c>
      <c r="K80" s="51">
        <f>'Note 4 to 5'!L98</f>
        <v>2488839.4222118952</v>
      </c>
      <c r="L80" s="51">
        <f>'Note 4 to 5'!M98</f>
        <v>1352917.1660758243</v>
      </c>
    </row>
    <row r="81" spans="1:12" x14ac:dyDescent="0.25">
      <c r="A81" s="99" t="s">
        <v>987</v>
      </c>
      <c r="B81" s="51">
        <v>19420</v>
      </c>
      <c r="C81" s="51">
        <f>B82</f>
        <v>0</v>
      </c>
      <c r="D81" s="51">
        <f t="shared" ref="D81:L81" si="31">C82</f>
        <v>40535.374864072073</v>
      </c>
      <c r="E81" s="51">
        <f t="shared" si="31"/>
        <v>19160.861886436964</v>
      </c>
      <c r="F81" s="51">
        <f t="shared" si="31"/>
        <v>42244.240327176325</v>
      </c>
      <c r="G81" s="51">
        <f t="shared" si="31"/>
        <v>29841.44565521738</v>
      </c>
      <c r="H81" s="51">
        <f t="shared" si="31"/>
        <v>27684.375618328311</v>
      </c>
      <c r="I81" s="51">
        <f t="shared" si="31"/>
        <v>41047.094306455307</v>
      </c>
      <c r="J81" s="51">
        <f t="shared" si="31"/>
        <v>28062.147384961034</v>
      </c>
      <c r="K81" s="51">
        <f t="shared" si="31"/>
        <v>33162.118081750108</v>
      </c>
      <c r="L81" s="51">
        <f t="shared" si="31"/>
        <v>49776.788444237907</v>
      </c>
    </row>
    <row r="82" spans="1:12" x14ac:dyDescent="0.25">
      <c r="A82" s="99" t="s">
        <v>988</v>
      </c>
      <c r="B82" s="51">
        <f>'Note 6 to 8'!B71</f>
        <v>0</v>
      </c>
      <c r="C82" s="51">
        <f>'Note 6 to 8'!C71</f>
        <v>40535.374864072073</v>
      </c>
      <c r="D82" s="51">
        <f>'Note 6 to 8'!D71</f>
        <v>19160.861886436964</v>
      </c>
      <c r="E82" s="51">
        <f>'Note 6 to 8'!E71</f>
        <v>42244.240327176325</v>
      </c>
      <c r="F82" s="51">
        <f>'Note 6 to 8'!F71</f>
        <v>29841.44565521738</v>
      </c>
      <c r="G82" s="51">
        <f>'Note 6 to 8'!G71</f>
        <v>27684.375618328311</v>
      </c>
      <c r="H82" s="51">
        <f>'Note 6 to 8'!H71</f>
        <v>41047.094306455307</v>
      </c>
      <c r="I82" s="51">
        <f>'Note 6 to 8'!I71</f>
        <v>28062.147384961034</v>
      </c>
      <c r="J82" s="51">
        <f>'Note 6 to 8'!J71</f>
        <v>33162.118081750108</v>
      </c>
      <c r="K82" s="51">
        <f>'Note 6 to 8'!K71</f>
        <v>49776.788444237907</v>
      </c>
      <c r="L82" s="51">
        <f>'Note 6 to 8'!L71</f>
        <v>27058.343321516488</v>
      </c>
    </row>
    <row r="83" spans="1:12" x14ac:dyDescent="0.25">
      <c r="A83" s="98" t="s">
        <v>753</v>
      </c>
      <c r="B83" s="51">
        <f>-(B82-B81)</f>
        <v>19420</v>
      </c>
      <c r="C83" s="51">
        <f t="shared" ref="C83:L83" si="32">-(C82-C81)</f>
        <v>-40535.374864072073</v>
      </c>
      <c r="D83" s="51">
        <f t="shared" si="32"/>
        <v>21374.51297763511</v>
      </c>
      <c r="E83" s="51">
        <f t="shared" si="32"/>
        <v>-23083.378440739361</v>
      </c>
      <c r="F83" s="51">
        <f t="shared" si="32"/>
        <v>12402.794671958945</v>
      </c>
      <c r="G83" s="51">
        <f t="shared" si="32"/>
        <v>2157.0700368890684</v>
      </c>
      <c r="H83" s="51">
        <f t="shared" si="32"/>
        <v>-13362.718688126995</v>
      </c>
      <c r="I83" s="51">
        <f t="shared" si="32"/>
        <v>12984.946921494273</v>
      </c>
      <c r="J83" s="51">
        <f t="shared" si="32"/>
        <v>-5099.9706967890743</v>
      </c>
      <c r="K83" s="51">
        <f t="shared" si="32"/>
        <v>-16614.670362487799</v>
      </c>
      <c r="L83" s="51">
        <f t="shared" si="32"/>
        <v>22718.445122721419</v>
      </c>
    </row>
    <row r="84" spans="1:12" x14ac:dyDescent="0.25">
      <c r="A84" s="3" t="s">
        <v>989</v>
      </c>
      <c r="B84" s="60">
        <f>B80+B83</f>
        <v>1339990.6518488859</v>
      </c>
      <c r="C84" s="60">
        <f t="shared" ref="C84:L84" si="33">C80+C83</f>
        <v>1986233.3683395316</v>
      </c>
      <c r="D84" s="60">
        <f t="shared" si="33"/>
        <v>979417.60729948338</v>
      </c>
      <c r="E84" s="60">
        <f t="shared" si="33"/>
        <v>2089128.6379180767</v>
      </c>
      <c r="F84" s="60">
        <f t="shared" si="33"/>
        <v>1504475.077432828</v>
      </c>
      <c r="G84" s="60">
        <f t="shared" si="33"/>
        <v>1386375.8509533047</v>
      </c>
      <c r="H84" s="60">
        <f t="shared" si="33"/>
        <v>2038991.9966346384</v>
      </c>
      <c r="I84" s="60">
        <f t="shared" si="33"/>
        <v>1416092.316169546</v>
      </c>
      <c r="J84" s="60">
        <f t="shared" si="33"/>
        <v>1653005.9333907163</v>
      </c>
      <c r="K84" s="60">
        <f t="shared" si="33"/>
        <v>2472224.7518494073</v>
      </c>
      <c r="L84" s="60">
        <f t="shared" si="33"/>
        <v>1375635.6111985457</v>
      </c>
    </row>
    <row r="86" spans="1:12" x14ac:dyDescent="0.25">
      <c r="A86" s="97" t="s">
        <v>914</v>
      </c>
    </row>
    <row r="87" spans="1:12" x14ac:dyDescent="0.25">
      <c r="A87" s="3" t="s">
        <v>920</v>
      </c>
    </row>
    <row r="88" spans="1:12" x14ac:dyDescent="0.25">
      <c r="A88" s="98" t="s">
        <v>990</v>
      </c>
      <c r="B88" s="51">
        <f>-'Note 4 to 5'!C58</f>
        <v>-23528982</v>
      </c>
      <c r="C88" s="51">
        <f>-'Note 4 to 5'!D58</f>
        <v>-22822754.025585577</v>
      </c>
      <c r="D88" s="51">
        <f>-'Note 4 to 5'!E58</f>
        <v>-23802379.839880958</v>
      </c>
      <c r="E88" s="51">
        <f>-'Note 4 to 5'!F58</f>
        <v>-24845621.932583559</v>
      </c>
      <c r="F88" s="51">
        <f>-'Note 4 to 5'!G58</f>
        <v>-25745440.298295461</v>
      </c>
      <c r="G88" s="51">
        <f>-'Note 4 to 5'!H58</f>
        <v>-26607354.454380278</v>
      </c>
      <c r="H88" s="51">
        <f>-'Note 4 to 5'!I58</f>
        <v>-27716740.51252811</v>
      </c>
      <c r="I88" s="51">
        <f>-'Note 4 to 5'!J58</f>
        <v>-28506447.635382351</v>
      </c>
      <c r="J88" s="51">
        <f>-'Note 4 to 5'!K58</f>
        <v>-29591737.265016958</v>
      </c>
      <c r="K88" s="51">
        <f>-'Note 4 to 5'!L58</f>
        <v>-30948956.723557297</v>
      </c>
      <c r="L88" s="51">
        <f>-'Note 4 to 5'!M58</f>
        <v>-31969887.873776428</v>
      </c>
    </row>
    <row r="89" spans="1:12" x14ac:dyDescent="0.25">
      <c r="A89" s="99" t="s">
        <v>991</v>
      </c>
      <c r="B89" s="51">
        <v>1477137656.4918659</v>
      </c>
      <c r="C89" s="51">
        <f>B90</f>
        <v>1505043034.1688211</v>
      </c>
      <c r="D89" s="51">
        <f t="shared" ref="D89:L89" si="34">C90</f>
        <v>1573194152.4860656</v>
      </c>
      <c r="E89" s="51">
        <f t="shared" si="34"/>
        <v>1611570911.8361456</v>
      </c>
      <c r="F89" s="51">
        <f t="shared" si="34"/>
        <v>1652479364.768558</v>
      </c>
      <c r="G89" s="51">
        <f t="shared" si="34"/>
        <v>1692442837.2542064</v>
      </c>
      <c r="H89" s="51">
        <f t="shared" si="34"/>
        <v>1732665061.2244482</v>
      </c>
      <c r="I89" s="51">
        <f t="shared" si="34"/>
        <v>1772943456.309</v>
      </c>
      <c r="J89" s="51">
        <f t="shared" si="34"/>
        <v>1812376461.1587358</v>
      </c>
      <c r="K89" s="51">
        <f t="shared" si="34"/>
        <v>1853385136.968226</v>
      </c>
      <c r="L89" s="51">
        <f t="shared" si="34"/>
        <v>1895569791.6737101</v>
      </c>
    </row>
    <row r="90" spans="1:12" x14ac:dyDescent="0.25">
      <c r="A90" s="99" t="s">
        <v>992</v>
      </c>
      <c r="B90" s="51">
        <f>'Note 9'!C21</f>
        <v>1505043034.1688211</v>
      </c>
      <c r="C90" s="51">
        <f>'Note 9'!D21</f>
        <v>1573194152.4860656</v>
      </c>
      <c r="D90" s="51">
        <f>'Note 9'!E21</f>
        <v>1611570911.8361456</v>
      </c>
      <c r="E90" s="51">
        <f>'Note 9'!F21</f>
        <v>1652479364.768558</v>
      </c>
      <c r="F90" s="51">
        <f>'Note 9'!G21</f>
        <v>1692442837.2542064</v>
      </c>
      <c r="G90" s="51">
        <f>'Note 9'!H21</f>
        <v>1732665061.2244482</v>
      </c>
      <c r="H90" s="51">
        <f>'Note 9'!I21</f>
        <v>1772943456.309</v>
      </c>
      <c r="I90" s="51">
        <f>'Note 9'!J21</f>
        <v>1812376461.1587358</v>
      </c>
      <c r="J90" s="51">
        <f>'Note 9'!K21</f>
        <v>1853385136.968226</v>
      </c>
      <c r="K90" s="51">
        <f>'Note 9'!L21</f>
        <v>1895569791.6737101</v>
      </c>
      <c r="L90" s="51">
        <f>'Note 9'!M21</f>
        <v>1937835086.7725227</v>
      </c>
    </row>
    <row r="91" spans="1:12" x14ac:dyDescent="0.25">
      <c r="A91" s="99" t="s">
        <v>993</v>
      </c>
      <c r="B91" s="51">
        <v>-1754011.6</v>
      </c>
      <c r="C91" s="51">
        <f>B92</f>
        <v>-2113982.3900000006</v>
      </c>
      <c r="D91" s="51">
        <f t="shared" ref="D91:L91" si="35">C92</f>
        <v>-2166831.9497500011</v>
      </c>
      <c r="E91" s="51">
        <f t="shared" si="35"/>
        <v>-2221002.7484937515</v>
      </c>
      <c r="F91" s="51">
        <f t="shared" si="35"/>
        <v>-2276527.8172060954</v>
      </c>
      <c r="G91" s="51">
        <f t="shared" si="35"/>
        <v>-2333441.012636248</v>
      </c>
      <c r="H91" s="51">
        <f t="shared" si="35"/>
        <v>-2391777.0379521544</v>
      </c>
      <c r="I91" s="51">
        <f t="shared" si="35"/>
        <v>-2451571.4639009587</v>
      </c>
      <c r="J91" s="51">
        <f t="shared" si="35"/>
        <v>-2512860.750498483</v>
      </c>
      <c r="K91" s="51">
        <f t="shared" si="35"/>
        <v>-2575682.2692609453</v>
      </c>
      <c r="L91" s="51">
        <f t="shared" si="35"/>
        <v>-2640074.3259924692</v>
      </c>
    </row>
    <row r="92" spans="1:12" x14ac:dyDescent="0.25">
      <c r="A92" s="99" t="s">
        <v>994</v>
      </c>
      <c r="B92" s="51">
        <f>'Note 10 to 11'!B11</f>
        <v>-2113982.3900000006</v>
      </c>
      <c r="C92" s="51">
        <f>'Note 10 to 11'!C11</f>
        <v>-2166831.9497500011</v>
      </c>
      <c r="D92" s="51">
        <f>'Note 10 to 11'!D11</f>
        <v>-2221002.7484937515</v>
      </c>
      <c r="E92" s="51">
        <f>'Note 10 to 11'!E11</f>
        <v>-2276527.8172060954</v>
      </c>
      <c r="F92" s="51">
        <f>'Note 10 to 11'!F11</f>
        <v>-2333441.012636248</v>
      </c>
      <c r="G92" s="51">
        <f>'Note 10 to 11'!G11</f>
        <v>-2391777.0379521544</v>
      </c>
      <c r="H92" s="51">
        <f>'Note 10 to 11'!H11</f>
        <v>-2451571.4639009587</v>
      </c>
      <c r="I92" s="51">
        <f>'Note 10 to 11'!I11</f>
        <v>-2512860.750498483</v>
      </c>
      <c r="J92" s="51">
        <f>'Note 10 to 11'!J11</f>
        <v>-2575682.2692609453</v>
      </c>
      <c r="K92" s="51">
        <f>'Note 10 to 11'!K11</f>
        <v>-2640074.3259924692</v>
      </c>
      <c r="L92" s="51">
        <f>'Note 10 to 11'!L11</f>
        <v>-2706076.1841422813</v>
      </c>
    </row>
    <row r="93" spans="1:12" x14ac:dyDescent="0.25">
      <c r="A93" s="98" t="s">
        <v>753</v>
      </c>
      <c r="B93" s="51">
        <f>-(B90-B89)-(B92-B91)</f>
        <v>-27545406.886955224</v>
      </c>
      <c r="C93" s="51">
        <f t="shared" ref="C93:L93" si="36">-(C90-C89)-(C92-C91)</f>
        <v>-68098268.757494524</v>
      </c>
      <c r="D93" s="51">
        <f t="shared" si="36"/>
        <v>-38322588.551336266</v>
      </c>
      <c r="E93" s="51">
        <f t="shared" si="36"/>
        <v>-40852927.86370004</v>
      </c>
      <c r="F93" s="51">
        <f t="shared" si="36"/>
        <v>-39906559.290218242</v>
      </c>
      <c r="G93" s="51">
        <f t="shared" si="36"/>
        <v>-40163887.944925882</v>
      </c>
      <c r="H93" s="51">
        <f t="shared" si="36"/>
        <v>-40218600.658603005</v>
      </c>
      <c r="I93" s="51">
        <f t="shared" si="36"/>
        <v>-39371715.563138209</v>
      </c>
      <c r="J93" s="51">
        <f t="shared" si="36"/>
        <v>-40945854.290727742</v>
      </c>
      <c r="K93" s="51">
        <f t="shared" si="36"/>
        <v>-42120262.64875263</v>
      </c>
      <c r="L93" s="51">
        <f t="shared" si="36"/>
        <v>-42199293.240662768</v>
      </c>
    </row>
    <row r="94" spans="1:12" x14ac:dyDescent="0.25">
      <c r="A94" s="98" t="s">
        <v>995</v>
      </c>
      <c r="B94" s="51">
        <f>-'Note 4 to 5'!C98</f>
        <v>-1320570.6518488859</v>
      </c>
      <c r="C94" s="51">
        <f>'Note 4 to 5'!D99+'Note 4 to 5'!D104</f>
        <v>-5029104.3190896288</v>
      </c>
      <c r="D94" s="51">
        <f>'Note 4 to 5'!E99+'Note 4 to 5'!E104</f>
        <v>-2368745.8069413542</v>
      </c>
      <c r="E94" s="51">
        <f>'Note 4 to 5'!F99+'Note 4 to 5'!F104</f>
        <v>-3658004.1931278822</v>
      </c>
      <c r="F94" s="51">
        <f>'Note 4 to 5'!G99+'Note 4 to 5'!G104</f>
        <v>-3084233.6808839766</v>
      </c>
      <c r="G94" s="51">
        <f>'Note 4 to 5'!H99+'Note 4 to 5'!H104</f>
        <v>-3035728.6332167387</v>
      </c>
      <c r="H94" s="51">
        <f>'Note 4 to 5'!I99+'Note 4 to 5'!I104</f>
        <v>-3533856.4998751711</v>
      </c>
      <c r="I94" s="51">
        <f>'Note 4 to 5'!J99+'Note 4 to 5'!J104</f>
        <v>-3044516.8824990601</v>
      </c>
      <c r="J94" s="51">
        <f>'Note 4 to 5'!K99+'Note 4 to 5'!K104</f>
        <v>-3210545.5864322605</v>
      </c>
      <c r="K94" s="51">
        <f>'Note 4 to 5'!L99+'Note 4 to 5'!L104</f>
        <v>-4004032.6641355106</v>
      </c>
      <c r="L94" s="51">
        <f>'Note 4 to 5'!M99+'Note 4 to 5'!M104</f>
        <v>-3061863.4712743829</v>
      </c>
    </row>
    <row r="95" spans="1:12" x14ac:dyDescent="0.25">
      <c r="A95" s="98" t="s">
        <v>996</v>
      </c>
      <c r="B95" s="51">
        <f>'Note 9'!C17+'Note 9'!C18</f>
        <v>20154450.265945617</v>
      </c>
      <c r="C95" s="51">
        <f>'Note 9'!D17+'Note 9'!D18</f>
        <v>25945467.787692703</v>
      </c>
      <c r="D95" s="51">
        <f>'Note 9'!E17+'Note 9'!E18</f>
        <v>27571646.639621638</v>
      </c>
      <c r="E95" s="51">
        <f>'Note 9'!F17+'Note 9'!F18</f>
        <v>28535333.735458292</v>
      </c>
      <c r="F95" s="51">
        <f>'Note 9'!G17+'Note 9'!G18</f>
        <v>29494800.860588461</v>
      </c>
      <c r="G95" s="51">
        <f>'Note 9'!H17+'Note 9'!H18</f>
        <v>30461100.854602169</v>
      </c>
      <c r="H95" s="51">
        <f>'Note 9'!I17+'Note 9'!I18</f>
        <v>31445500.778703321</v>
      </c>
      <c r="I95" s="51">
        <f>'Note 9'!J17+'Note 9'!J18</f>
        <v>32399274.801100876</v>
      </c>
      <c r="J95" s="51">
        <f>'Note 9'!K17+'Note 9'!K18</f>
        <v>33396885.282389391</v>
      </c>
      <c r="K95" s="51">
        <f>'Note 9'!L17+'Note 9'!L18</f>
        <v>34379891.379668325</v>
      </c>
      <c r="L95" s="51">
        <f>'Note 9'!M17+'Note 9'!M18</f>
        <v>35353074.202239923</v>
      </c>
    </row>
    <row r="96" spans="1:12" x14ac:dyDescent="0.25">
      <c r="A96" s="3" t="s">
        <v>997</v>
      </c>
      <c r="B96" s="60">
        <f>B88+B93+B94+B95</f>
        <v>-32240509.272858489</v>
      </c>
      <c r="C96" s="60">
        <f t="shared" ref="C96:L96" si="37">C88+C93+C94+C95</f>
        <v>-70004659.314477026</v>
      </c>
      <c r="D96" s="60">
        <f t="shared" si="37"/>
        <v>-36922067.558536939</v>
      </c>
      <c r="E96" s="60">
        <f t="shared" si="37"/>
        <v>-40821220.253953196</v>
      </c>
      <c r="F96" s="60">
        <f t="shared" si="37"/>
        <v>-39241432.408809215</v>
      </c>
      <c r="G96" s="60">
        <f t="shared" si="37"/>
        <v>-39345870.177920729</v>
      </c>
      <c r="H96" s="60">
        <f t="shared" si="37"/>
        <v>-40023696.892302975</v>
      </c>
      <c r="I96" s="60">
        <f t="shared" si="37"/>
        <v>-38523405.27991873</v>
      </c>
      <c r="J96" s="60">
        <f t="shared" si="37"/>
        <v>-40351251.859787583</v>
      </c>
      <c r="K96" s="60">
        <f t="shared" si="37"/>
        <v>-42693360.656777114</v>
      </c>
      <c r="L96" s="60">
        <f t="shared" si="37"/>
        <v>-41877970.383473642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0"/>
  <sheetViews>
    <sheetView zoomScale="120" zoomScaleNormal="120" workbookViewId="0">
      <pane ySplit="5" topLeftCell="A30" activePane="bottomLeft" state="frozen"/>
      <selection pane="bottomLeft" activeCell="A44" sqref="A44"/>
    </sheetView>
  </sheetViews>
  <sheetFormatPr defaultRowHeight="15" x14ac:dyDescent="0.25"/>
  <cols>
    <col min="1" max="1" width="19" customWidth="1"/>
    <col min="2" max="2" width="11.85546875" customWidth="1"/>
    <col min="3" max="3" width="51.7109375" customWidth="1"/>
    <col min="4" max="4" width="16.140625" customWidth="1"/>
    <col min="5" max="5" width="16.42578125" customWidth="1"/>
  </cols>
  <sheetData>
    <row r="1" spans="1:5" ht="18" customHeight="1" x14ac:dyDescent="0.25">
      <c r="A1" s="2" t="str">
        <f>MODEL_NAME</f>
        <v>Long Term Financial Plan 2018-28</v>
      </c>
    </row>
    <row r="2" spans="1:5" ht="15.75" x14ac:dyDescent="0.25">
      <c r="A2" s="1" t="s">
        <v>88</v>
      </c>
    </row>
    <row r="4" spans="1:5" x14ac:dyDescent="0.25">
      <c r="D4" s="57">
        <f>SUBTOTAL(9,D6:D310)</f>
        <v>0</v>
      </c>
      <c r="E4" s="57">
        <f>SUBTOTAL(9,E6:E310)</f>
        <v>0</v>
      </c>
    </row>
    <row r="5" spans="1:5" ht="26.25" x14ac:dyDescent="0.25">
      <c r="A5" s="41" t="s">
        <v>89</v>
      </c>
      <c r="B5" s="41" t="s">
        <v>90</v>
      </c>
      <c r="C5" s="41" t="s">
        <v>91</v>
      </c>
      <c r="D5" s="41" t="s">
        <v>92</v>
      </c>
      <c r="E5" s="42" t="s">
        <v>93</v>
      </c>
    </row>
    <row r="6" spans="1:5" x14ac:dyDescent="0.25">
      <c r="A6" s="6"/>
      <c r="B6" s="43" t="str">
        <f>LEFT(C6,6)</f>
        <v>120201</v>
      </c>
      <c r="C6" s="45" t="s">
        <v>94</v>
      </c>
      <c r="D6" s="46">
        <v>141648</v>
      </c>
      <c r="E6" s="46">
        <v>141648</v>
      </c>
    </row>
    <row r="7" spans="1:5" x14ac:dyDescent="0.25">
      <c r="A7" s="6"/>
      <c r="B7" s="43" t="str">
        <f t="shared" ref="B7:B70" si="0">LEFT(C7,6)</f>
        <v>120202</v>
      </c>
      <c r="C7" s="45" t="s">
        <v>95</v>
      </c>
      <c r="D7" s="46">
        <v>-105533</v>
      </c>
      <c r="E7" s="46">
        <v>-105533</v>
      </c>
    </row>
    <row r="8" spans="1:5" x14ac:dyDescent="0.25">
      <c r="A8" s="6"/>
      <c r="B8" s="43" t="str">
        <f t="shared" si="0"/>
        <v>120203</v>
      </c>
      <c r="C8" s="45" t="s">
        <v>96</v>
      </c>
      <c r="D8" s="46">
        <v>2850000</v>
      </c>
      <c r="E8" s="46">
        <v>2850000</v>
      </c>
    </row>
    <row r="9" spans="1:5" x14ac:dyDescent="0.25">
      <c r="A9" s="6"/>
      <c r="B9" s="43" t="str">
        <f t="shared" si="0"/>
        <v>120206</v>
      </c>
      <c r="C9" s="45" t="s">
        <v>97</v>
      </c>
      <c r="D9" s="46">
        <v>-1300000</v>
      </c>
      <c r="E9" s="46">
        <v>-1800000</v>
      </c>
    </row>
    <row r="10" spans="1:5" x14ac:dyDescent="0.25">
      <c r="A10" s="6"/>
      <c r="B10" s="43" t="str">
        <f t="shared" si="0"/>
        <v>120208</v>
      </c>
      <c r="C10" s="45" t="s">
        <v>98</v>
      </c>
      <c r="D10" s="46">
        <v>-1500000</v>
      </c>
      <c r="E10" s="46">
        <v>-2000000</v>
      </c>
    </row>
    <row r="11" spans="1:5" x14ac:dyDescent="0.25">
      <c r="A11" s="6"/>
      <c r="B11" s="43" t="str">
        <f t="shared" si="0"/>
        <v>123001</v>
      </c>
      <c r="C11" s="45" t="s">
        <v>99</v>
      </c>
      <c r="D11" s="46">
        <v>674462</v>
      </c>
      <c r="E11" s="46">
        <v>-380637</v>
      </c>
    </row>
    <row r="12" spans="1:5" x14ac:dyDescent="0.25">
      <c r="A12" s="6"/>
      <c r="B12" s="43" t="str">
        <f t="shared" si="0"/>
        <v>123002</v>
      </c>
      <c r="C12" s="45" t="s">
        <v>100</v>
      </c>
      <c r="D12" s="46">
        <v>417799</v>
      </c>
      <c r="E12" s="46">
        <v>417799</v>
      </c>
    </row>
    <row r="13" spans="1:5" x14ac:dyDescent="0.25">
      <c r="A13" s="6"/>
      <c r="B13" s="43" t="str">
        <f t="shared" si="0"/>
        <v>123401</v>
      </c>
      <c r="C13" s="45" t="s">
        <v>101</v>
      </c>
      <c r="D13" s="46">
        <v>0</v>
      </c>
      <c r="E13" s="46">
        <v>-1475946</v>
      </c>
    </row>
    <row r="14" spans="1:5" x14ac:dyDescent="0.25">
      <c r="A14" s="6"/>
      <c r="B14" s="43" t="str">
        <f t="shared" si="0"/>
        <v>123501</v>
      </c>
      <c r="C14" s="45" t="s">
        <v>102</v>
      </c>
      <c r="D14" s="46">
        <v>0</v>
      </c>
      <c r="E14" s="46">
        <v>-3349666</v>
      </c>
    </row>
    <row r="15" spans="1:5" x14ac:dyDescent="0.25">
      <c r="A15" s="6"/>
      <c r="B15" s="43" t="str">
        <f t="shared" si="0"/>
        <v>123802</v>
      </c>
      <c r="C15" s="45" t="s">
        <v>103</v>
      </c>
      <c r="D15" s="46">
        <v>0</v>
      </c>
      <c r="E15" s="46">
        <v>-556686</v>
      </c>
    </row>
    <row r="16" spans="1:5" x14ac:dyDescent="0.25">
      <c r="A16" s="6"/>
      <c r="B16" s="43" t="str">
        <f t="shared" si="0"/>
        <v>125001</v>
      </c>
      <c r="C16" s="45" t="s">
        <v>104</v>
      </c>
      <c r="D16" s="46">
        <v>500000</v>
      </c>
      <c r="E16" s="46">
        <v>500000</v>
      </c>
    </row>
    <row r="17" spans="1:5" x14ac:dyDescent="0.25">
      <c r="A17" s="6"/>
      <c r="B17" s="43" t="str">
        <f t="shared" si="0"/>
        <v>125601</v>
      </c>
      <c r="C17" s="45" t="s">
        <v>105</v>
      </c>
      <c r="D17" s="46">
        <v>-562320</v>
      </c>
      <c r="E17" s="46">
        <v>-562320</v>
      </c>
    </row>
    <row r="18" spans="1:5" x14ac:dyDescent="0.25">
      <c r="A18" s="6"/>
      <c r="B18" s="43" t="str">
        <f t="shared" si="0"/>
        <v>125603</v>
      </c>
      <c r="C18" s="45" t="s">
        <v>106</v>
      </c>
      <c r="D18" s="46">
        <v>300000</v>
      </c>
      <c r="E18" s="46">
        <v>300000</v>
      </c>
    </row>
    <row r="19" spans="1:5" x14ac:dyDescent="0.25">
      <c r="A19" s="6"/>
      <c r="B19" s="43" t="str">
        <f t="shared" si="0"/>
        <v>125608</v>
      </c>
      <c r="C19" s="45" t="s">
        <v>107</v>
      </c>
      <c r="D19" s="46">
        <v>155891</v>
      </c>
      <c r="E19" s="46">
        <v>155891</v>
      </c>
    </row>
    <row r="20" spans="1:5" x14ac:dyDescent="0.25">
      <c r="A20" s="6"/>
      <c r="B20" s="43" t="str">
        <f t="shared" si="0"/>
        <v>125621</v>
      </c>
      <c r="C20" s="45" t="s">
        <v>108</v>
      </c>
      <c r="D20" s="46">
        <v>537832</v>
      </c>
      <c r="E20" s="46">
        <v>537832</v>
      </c>
    </row>
    <row r="21" spans="1:5" x14ac:dyDescent="0.25">
      <c r="A21" s="6"/>
      <c r="B21" s="43" t="str">
        <f t="shared" si="0"/>
        <v>125622</v>
      </c>
      <c r="C21" s="45" t="s">
        <v>109</v>
      </c>
      <c r="D21" s="46">
        <v>100000</v>
      </c>
      <c r="E21" s="46">
        <v>100000</v>
      </c>
    </row>
    <row r="22" spans="1:5" x14ac:dyDescent="0.25">
      <c r="A22" s="6"/>
      <c r="B22" s="43" t="str">
        <f t="shared" si="0"/>
        <v>125625</v>
      </c>
      <c r="C22" s="45" t="s">
        <v>110</v>
      </c>
      <c r="D22" s="46">
        <v>-125501</v>
      </c>
      <c r="E22" s="46">
        <v>-125501</v>
      </c>
    </row>
    <row r="23" spans="1:5" x14ac:dyDescent="0.25">
      <c r="A23" s="6"/>
      <c r="B23" s="43" t="str">
        <f t="shared" si="0"/>
        <v>125628</v>
      </c>
      <c r="C23" s="45" t="s">
        <v>111</v>
      </c>
      <c r="D23" s="46">
        <v>0</v>
      </c>
      <c r="E23" s="46">
        <v>-3400113</v>
      </c>
    </row>
    <row r="24" spans="1:5" x14ac:dyDescent="0.25">
      <c r="A24" s="6"/>
      <c r="B24" s="43" t="str">
        <f t="shared" si="0"/>
        <v>125633</v>
      </c>
      <c r="C24" s="45" t="s">
        <v>112</v>
      </c>
      <c r="D24" s="46">
        <v>0</v>
      </c>
      <c r="E24" s="46">
        <v>-1075104</v>
      </c>
    </row>
    <row r="25" spans="1:5" x14ac:dyDescent="0.25">
      <c r="A25" s="6"/>
      <c r="B25" s="43" t="str">
        <f t="shared" si="0"/>
        <v>125635</v>
      </c>
      <c r="C25" s="45" t="s">
        <v>113</v>
      </c>
      <c r="D25" s="46">
        <v>0</v>
      </c>
      <c r="E25" s="46">
        <v>-4422340</v>
      </c>
    </row>
    <row r="26" spans="1:5" x14ac:dyDescent="0.25">
      <c r="A26" s="6"/>
      <c r="B26" s="43" t="str">
        <f t="shared" si="0"/>
        <v>125636</v>
      </c>
      <c r="C26" s="45" t="s">
        <v>114</v>
      </c>
      <c r="D26" s="46">
        <v>0</v>
      </c>
      <c r="E26" s="46">
        <v>-218183</v>
      </c>
    </row>
    <row r="27" spans="1:5" x14ac:dyDescent="0.25">
      <c r="A27" s="6"/>
      <c r="B27" s="43" t="str">
        <f t="shared" si="0"/>
        <v>125640</v>
      </c>
      <c r="C27" s="45" t="s">
        <v>115</v>
      </c>
      <c r="D27" s="46">
        <v>0</v>
      </c>
      <c r="E27" s="46">
        <v>-2208993</v>
      </c>
    </row>
    <row r="28" spans="1:5" x14ac:dyDescent="0.25">
      <c r="A28" s="6"/>
      <c r="B28" s="43" t="str">
        <f t="shared" si="0"/>
        <v>250201</v>
      </c>
      <c r="C28" s="45" t="s">
        <v>116</v>
      </c>
      <c r="D28" s="46">
        <v>30595520</v>
      </c>
      <c r="E28" s="46">
        <v>43057864</v>
      </c>
    </row>
    <row r="29" spans="1:5" x14ac:dyDescent="0.25">
      <c r="A29" s="6"/>
      <c r="B29" s="43" t="str">
        <f t="shared" si="0"/>
        <v>250202</v>
      </c>
      <c r="C29" s="45" t="s">
        <v>117</v>
      </c>
      <c r="D29" s="46">
        <v>1355000</v>
      </c>
      <c r="E29" s="46">
        <v>6594668</v>
      </c>
    </row>
    <row r="30" spans="1:5" x14ac:dyDescent="0.25">
      <c r="A30" s="6"/>
      <c r="B30" s="43" t="str">
        <f t="shared" si="0"/>
        <v>250203</v>
      </c>
      <c r="C30" s="45" t="s">
        <v>118</v>
      </c>
      <c r="D30" s="46">
        <v>140000</v>
      </c>
      <c r="E30" s="46">
        <v>140000</v>
      </c>
    </row>
    <row r="31" spans="1:5" x14ac:dyDescent="0.25">
      <c r="A31" s="6"/>
      <c r="B31" s="43" t="str">
        <f t="shared" si="0"/>
        <v>253006</v>
      </c>
      <c r="C31" s="45" t="s">
        <v>119</v>
      </c>
      <c r="D31" s="46">
        <v>200000</v>
      </c>
      <c r="E31" s="46">
        <v>200000</v>
      </c>
    </row>
    <row r="32" spans="1:5" x14ac:dyDescent="0.25">
      <c r="A32" s="6"/>
      <c r="B32" s="43" t="str">
        <f t="shared" si="0"/>
        <v>253009</v>
      </c>
      <c r="C32" s="45" t="s">
        <v>120</v>
      </c>
      <c r="D32" s="46">
        <v>421281</v>
      </c>
      <c r="E32" s="46">
        <v>421281</v>
      </c>
    </row>
    <row r="33" spans="1:5" x14ac:dyDescent="0.25">
      <c r="A33" s="6" t="s">
        <v>399</v>
      </c>
      <c r="B33" s="43" t="str">
        <f t="shared" si="0"/>
        <v>600001</v>
      </c>
      <c r="C33" s="45" t="s">
        <v>121</v>
      </c>
      <c r="D33" s="148">
        <v>44804569</v>
      </c>
      <c r="E33" s="46">
        <v>44804569</v>
      </c>
    </row>
    <row r="34" spans="1:5" x14ac:dyDescent="0.25">
      <c r="A34" s="6" t="s">
        <v>399</v>
      </c>
      <c r="B34" s="43" t="str">
        <f t="shared" si="0"/>
        <v>600002</v>
      </c>
      <c r="C34" s="45" t="s">
        <v>122</v>
      </c>
      <c r="D34" s="148">
        <v>762245</v>
      </c>
      <c r="E34" s="46">
        <v>762245</v>
      </c>
    </row>
    <row r="35" spans="1:5" x14ac:dyDescent="0.25">
      <c r="A35" s="6" t="s">
        <v>399</v>
      </c>
      <c r="B35" s="43" t="str">
        <f t="shared" si="0"/>
        <v>600201</v>
      </c>
      <c r="C35" s="45" t="s">
        <v>123</v>
      </c>
      <c r="D35" s="148">
        <v>4457888</v>
      </c>
      <c r="E35" s="46">
        <v>4457888</v>
      </c>
    </row>
    <row r="36" spans="1:5" x14ac:dyDescent="0.25">
      <c r="A36" s="6" t="s">
        <v>399</v>
      </c>
      <c r="B36" s="43" t="str">
        <f t="shared" si="0"/>
        <v>600202</v>
      </c>
      <c r="C36" s="45" t="s">
        <v>124</v>
      </c>
      <c r="D36" s="148">
        <v>3000</v>
      </c>
      <c r="E36" s="46">
        <v>3000</v>
      </c>
    </row>
    <row r="37" spans="1:5" x14ac:dyDescent="0.25">
      <c r="A37" s="6" t="s">
        <v>400</v>
      </c>
      <c r="B37" s="43" t="str">
        <f t="shared" si="0"/>
        <v>602001</v>
      </c>
      <c r="C37" s="45" t="s">
        <v>125</v>
      </c>
      <c r="D37" s="46">
        <v>3999829</v>
      </c>
      <c r="E37" s="46">
        <v>3999829</v>
      </c>
    </row>
    <row r="38" spans="1:5" x14ac:dyDescent="0.25">
      <c r="A38" s="6" t="s">
        <v>401</v>
      </c>
      <c r="B38" s="43" t="str">
        <f t="shared" si="0"/>
        <v>602002</v>
      </c>
      <c r="C38" s="45" t="s">
        <v>126</v>
      </c>
      <c r="D38" s="46">
        <v>1334627</v>
      </c>
      <c r="E38" s="46">
        <v>1334627</v>
      </c>
    </row>
    <row r="39" spans="1:5" x14ac:dyDescent="0.25">
      <c r="A39" s="6" t="s">
        <v>402</v>
      </c>
      <c r="B39" s="43" t="str">
        <f t="shared" si="0"/>
        <v>602201</v>
      </c>
      <c r="C39" s="45" t="s">
        <v>127</v>
      </c>
      <c r="D39" s="46">
        <v>850000</v>
      </c>
      <c r="E39" s="46">
        <v>850000</v>
      </c>
    </row>
    <row r="40" spans="1:5" x14ac:dyDescent="0.25">
      <c r="A40" s="6" t="s">
        <v>403</v>
      </c>
      <c r="B40" s="43" t="str">
        <f t="shared" si="0"/>
        <v>602301</v>
      </c>
      <c r="C40" s="45" t="s">
        <v>128</v>
      </c>
      <c r="D40" s="46">
        <v>4260335</v>
      </c>
      <c r="E40" s="46">
        <v>4260335</v>
      </c>
    </row>
    <row r="41" spans="1:5" x14ac:dyDescent="0.25">
      <c r="A41" s="6" t="s">
        <v>404</v>
      </c>
      <c r="B41" s="43" t="str">
        <f t="shared" si="0"/>
        <v>602401</v>
      </c>
      <c r="C41" s="45" t="s">
        <v>129</v>
      </c>
      <c r="D41" s="46">
        <v>703190</v>
      </c>
      <c r="E41" s="46">
        <v>923190</v>
      </c>
    </row>
    <row r="42" spans="1:5" x14ac:dyDescent="0.25">
      <c r="A42" s="6" t="s">
        <v>404</v>
      </c>
      <c r="B42" s="43" t="str">
        <f t="shared" si="0"/>
        <v>602415</v>
      </c>
      <c r="C42" s="45" t="s">
        <v>130</v>
      </c>
      <c r="D42" s="46">
        <v>2000</v>
      </c>
      <c r="E42" s="46">
        <v>2000</v>
      </c>
    </row>
    <row r="43" spans="1:5" x14ac:dyDescent="0.25">
      <c r="A43" s="6" t="s">
        <v>407</v>
      </c>
      <c r="B43" s="43" t="str">
        <f t="shared" si="0"/>
        <v>602601</v>
      </c>
      <c r="C43" s="45" t="s">
        <v>131</v>
      </c>
      <c r="D43" s="46">
        <v>12000</v>
      </c>
      <c r="E43" s="46">
        <v>12000</v>
      </c>
    </row>
    <row r="44" spans="1:5" x14ac:dyDescent="0.25">
      <c r="A44" s="6" t="s">
        <v>407</v>
      </c>
      <c r="B44" s="43" t="str">
        <f t="shared" si="0"/>
        <v>602602</v>
      </c>
      <c r="C44" s="45" t="s">
        <v>132</v>
      </c>
      <c r="D44" s="46">
        <v>60000</v>
      </c>
      <c r="E44" s="46">
        <v>60000</v>
      </c>
    </row>
    <row r="45" spans="1:5" x14ac:dyDescent="0.25">
      <c r="A45" s="6" t="s">
        <v>405</v>
      </c>
      <c r="B45" s="43" t="str">
        <f t="shared" si="0"/>
        <v>602603</v>
      </c>
      <c r="C45" s="45" t="s">
        <v>133</v>
      </c>
      <c r="D45" s="46">
        <v>50220</v>
      </c>
      <c r="E45" s="46">
        <v>50220</v>
      </c>
    </row>
    <row r="46" spans="1:5" x14ac:dyDescent="0.25">
      <c r="A46" s="6" t="s">
        <v>406</v>
      </c>
      <c r="B46" s="43" t="str">
        <f t="shared" si="0"/>
        <v>602604</v>
      </c>
      <c r="C46" s="45" t="s">
        <v>134</v>
      </c>
      <c r="D46" s="46">
        <v>480000</v>
      </c>
      <c r="E46" s="46">
        <v>480000</v>
      </c>
    </row>
    <row r="47" spans="1:5" x14ac:dyDescent="0.25">
      <c r="A47" s="6" t="s">
        <v>407</v>
      </c>
      <c r="B47" s="43" t="str">
        <f t="shared" si="0"/>
        <v>602608</v>
      </c>
      <c r="C47" s="45" t="s">
        <v>135</v>
      </c>
      <c r="D47" s="46">
        <v>3000</v>
      </c>
      <c r="E47" s="46">
        <v>3000</v>
      </c>
    </row>
    <row r="48" spans="1:5" x14ac:dyDescent="0.25">
      <c r="A48" s="6" t="s">
        <v>407</v>
      </c>
      <c r="B48" s="43" t="str">
        <f t="shared" si="0"/>
        <v>602609</v>
      </c>
      <c r="C48" s="45" t="s">
        <v>136</v>
      </c>
      <c r="D48" s="46">
        <v>151000</v>
      </c>
      <c r="E48" s="46">
        <v>151000</v>
      </c>
    </row>
    <row r="49" spans="1:5" x14ac:dyDescent="0.25">
      <c r="A49" s="6" t="s">
        <v>407</v>
      </c>
      <c r="B49" s="43" t="str">
        <f t="shared" si="0"/>
        <v>602612</v>
      </c>
      <c r="C49" s="45" t="s">
        <v>137</v>
      </c>
      <c r="D49" s="46">
        <v>100000</v>
      </c>
      <c r="E49" s="46">
        <v>100000</v>
      </c>
    </row>
    <row r="50" spans="1:5" x14ac:dyDescent="0.25">
      <c r="A50" s="6" t="s">
        <v>408</v>
      </c>
      <c r="B50" s="43" t="str">
        <f t="shared" si="0"/>
        <v>620001</v>
      </c>
      <c r="C50" s="45" t="s">
        <v>138</v>
      </c>
      <c r="D50" s="46">
        <v>2065769</v>
      </c>
      <c r="E50" s="46">
        <v>2077169</v>
      </c>
    </row>
    <row r="51" spans="1:5" x14ac:dyDescent="0.25">
      <c r="A51" s="6" t="s">
        <v>408</v>
      </c>
      <c r="B51" s="43" t="str">
        <f t="shared" si="0"/>
        <v>620002</v>
      </c>
      <c r="C51" s="45" t="s">
        <v>139</v>
      </c>
      <c r="D51" s="46">
        <v>950000</v>
      </c>
      <c r="E51" s="46">
        <v>950000</v>
      </c>
    </row>
    <row r="52" spans="1:5" x14ac:dyDescent="0.25">
      <c r="A52" s="6" t="s">
        <v>408</v>
      </c>
      <c r="B52" s="43" t="str">
        <f t="shared" si="0"/>
        <v>620003</v>
      </c>
      <c r="C52" s="45" t="s">
        <v>140</v>
      </c>
      <c r="D52" s="46">
        <v>101330</v>
      </c>
      <c r="E52" s="46">
        <v>101330</v>
      </c>
    </row>
    <row r="53" spans="1:5" x14ac:dyDescent="0.25">
      <c r="A53" s="6" t="s">
        <v>408</v>
      </c>
      <c r="B53" s="43" t="str">
        <f t="shared" si="0"/>
        <v>620004</v>
      </c>
      <c r="C53" s="45" t="s">
        <v>141</v>
      </c>
      <c r="D53" s="46">
        <v>115260</v>
      </c>
      <c r="E53" s="46">
        <v>115260</v>
      </c>
    </row>
    <row r="54" spans="1:5" x14ac:dyDescent="0.25">
      <c r="A54" s="6" t="s">
        <v>408</v>
      </c>
      <c r="B54" s="43" t="str">
        <f t="shared" si="0"/>
        <v>620005</v>
      </c>
      <c r="C54" s="45" t="s">
        <v>142</v>
      </c>
      <c r="D54" s="46">
        <v>11600</v>
      </c>
      <c r="E54" s="46">
        <v>11600</v>
      </c>
    </row>
    <row r="55" spans="1:5" x14ac:dyDescent="0.25">
      <c r="A55" s="6" t="s">
        <v>408</v>
      </c>
      <c r="B55" s="43" t="str">
        <f t="shared" si="0"/>
        <v>620006</v>
      </c>
      <c r="C55" s="45" t="s">
        <v>143</v>
      </c>
      <c r="D55" s="46">
        <v>101068</v>
      </c>
      <c r="E55" s="46">
        <v>101068</v>
      </c>
    </row>
    <row r="56" spans="1:5" x14ac:dyDescent="0.25">
      <c r="A56" s="6" t="s">
        <v>408</v>
      </c>
      <c r="B56" s="43" t="str">
        <f t="shared" si="0"/>
        <v>620008</v>
      </c>
      <c r="C56" s="45" t="s">
        <v>144</v>
      </c>
      <c r="D56" s="46">
        <v>4020</v>
      </c>
      <c r="E56" s="46">
        <v>4020</v>
      </c>
    </row>
    <row r="57" spans="1:5" x14ac:dyDescent="0.25">
      <c r="A57" s="6" t="s">
        <v>409</v>
      </c>
      <c r="B57" s="43" t="str">
        <f t="shared" si="0"/>
        <v>620201</v>
      </c>
      <c r="C57" s="45" t="s">
        <v>145</v>
      </c>
      <c r="D57" s="46">
        <v>4125057</v>
      </c>
      <c r="E57" s="46">
        <v>4722548</v>
      </c>
    </row>
    <row r="58" spans="1:5" x14ac:dyDescent="0.25">
      <c r="A58" s="6" t="s">
        <v>409</v>
      </c>
      <c r="B58" s="43" t="str">
        <f t="shared" si="0"/>
        <v>620202</v>
      </c>
      <c r="C58" s="45" t="s">
        <v>146</v>
      </c>
      <c r="D58" s="46">
        <v>376100</v>
      </c>
      <c r="E58" s="46">
        <v>376100</v>
      </c>
    </row>
    <row r="59" spans="1:5" x14ac:dyDescent="0.25">
      <c r="A59" s="6" t="s">
        <v>409</v>
      </c>
      <c r="B59" s="43" t="str">
        <f t="shared" si="0"/>
        <v>620203</v>
      </c>
      <c r="C59" s="45" t="s">
        <v>147</v>
      </c>
      <c r="D59" s="46">
        <v>865760</v>
      </c>
      <c r="E59" s="46">
        <v>865760</v>
      </c>
    </row>
    <row r="60" spans="1:5" x14ac:dyDescent="0.25">
      <c r="A60" s="6" t="s">
        <v>409</v>
      </c>
      <c r="B60" s="43" t="str">
        <f t="shared" si="0"/>
        <v>620205</v>
      </c>
      <c r="C60" s="45" t="s">
        <v>148</v>
      </c>
      <c r="D60" s="46">
        <v>275000</v>
      </c>
      <c r="E60" s="46">
        <v>275000</v>
      </c>
    </row>
    <row r="61" spans="1:5" x14ac:dyDescent="0.25">
      <c r="A61" s="6" t="s">
        <v>410</v>
      </c>
      <c r="B61" s="43" t="str">
        <f t="shared" si="0"/>
        <v>620206</v>
      </c>
      <c r="C61" s="45" t="s">
        <v>149</v>
      </c>
      <c r="D61" s="46">
        <v>4927325</v>
      </c>
      <c r="E61" s="46">
        <v>4927325</v>
      </c>
    </row>
    <row r="62" spans="1:5" x14ac:dyDescent="0.25">
      <c r="A62" s="6" t="s">
        <v>409</v>
      </c>
      <c r="B62" s="43" t="str">
        <f t="shared" si="0"/>
        <v>620207</v>
      </c>
      <c r="C62" s="45" t="s">
        <v>150</v>
      </c>
      <c r="D62" s="46">
        <v>506362</v>
      </c>
      <c r="E62" s="46">
        <v>506362</v>
      </c>
    </row>
    <row r="63" spans="1:5" x14ac:dyDescent="0.25">
      <c r="A63" s="6" t="s">
        <v>410</v>
      </c>
      <c r="B63" s="43" t="str">
        <f t="shared" si="0"/>
        <v>620208</v>
      </c>
      <c r="C63" s="45" t="s">
        <v>151</v>
      </c>
      <c r="D63" s="46">
        <v>3734344</v>
      </c>
      <c r="E63" s="46">
        <v>3734344</v>
      </c>
    </row>
    <row r="64" spans="1:5" x14ac:dyDescent="0.25">
      <c r="A64" s="6" t="s">
        <v>410</v>
      </c>
      <c r="B64" s="43" t="str">
        <f t="shared" si="0"/>
        <v>620209</v>
      </c>
      <c r="C64" s="45" t="s">
        <v>152</v>
      </c>
      <c r="D64" s="46">
        <v>2056337</v>
      </c>
      <c r="E64" s="46">
        <v>2056337</v>
      </c>
    </row>
    <row r="65" spans="1:5" x14ac:dyDescent="0.25">
      <c r="A65" s="6" t="s">
        <v>409</v>
      </c>
      <c r="B65" s="43" t="str">
        <f t="shared" si="0"/>
        <v>620210</v>
      </c>
      <c r="C65" s="45" t="s">
        <v>153</v>
      </c>
      <c r="D65" s="46">
        <v>400000</v>
      </c>
      <c r="E65" s="46">
        <v>400000</v>
      </c>
    </row>
    <row r="66" spans="1:5" x14ac:dyDescent="0.25">
      <c r="A66" s="6" t="s">
        <v>410</v>
      </c>
      <c r="B66" s="43" t="str">
        <f t="shared" si="0"/>
        <v>620211</v>
      </c>
      <c r="C66" s="45" t="s">
        <v>154</v>
      </c>
      <c r="D66" s="46">
        <v>6861911</v>
      </c>
      <c r="E66" s="46">
        <v>6861911</v>
      </c>
    </row>
    <row r="67" spans="1:5" x14ac:dyDescent="0.25">
      <c r="A67" s="6" t="s">
        <v>409</v>
      </c>
      <c r="B67" s="43" t="str">
        <f t="shared" si="0"/>
        <v>620212</v>
      </c>
      <c r="C67" s="45" t="s">
        <v>155</v>
      </c>
      <c r="D67" s="46">
        <v>113800</v>
      </c>
      <c r="E67" s="46">
        <v>113800</v>
      </c>
    </row>
    <row r="68" spans="1:5" x14ac:dyDescent="0.25">
      <c r="A68" s="6" t="s">
        <v>409</v>
      </c>
      <c r="B68" s="43" t="str">
        <f t="shared" si="0"/>
        <v>620213</v>
      </c>
      <c r="C68" s="45" t="s">
        <v>156</v>
      </c>
      <c r="D68" s="46">
        <v>286596</v>
      </c>
      <c r="E68" s="46">
        <v>286596</v>
      </c>
    </row>
    <row r="69" spans="1:5" x14ac:dyDescent="0.25">
      <c r="A69" s="6" t="s">
        <v>409</v>
      </c>
      <c r="B69" s="43" t="str">
        <f t="shared" si="0"/>
        <v>620216</v>
      </c>
      <c r="C69" s="45" t="s">
        <v>157</v>
      </c>
      <c r="D69" s="46">
        <v>24860</v>
      </c>
      <c r="E69" s="46">
        <v>24860</v>
      </c>
    </row>
    <row r="70" spans="1:5" x14ac:dyDescent="0.25">
      <c r="A70" s="6" t="s">
        <v>409</v>
      </c>
      <c r="B70" s="43" t="str">
        <f t="shared" si="0"/>
        <v>620217</v>
      </c>
      <c r="C70" s="45" t="s">
        <v>158</v>
      </c>
      <c r="D70" s="46">
        <v>1266193</v>
      </c>
      <c r="E70" s="46">
        <v>1266193</v>
      </c>
    </row>
    <row r="71" spans="1:5" x14ac:dyDescent="0.25">
      <c r="A71" s="6" t="s">
        <v>409</v>
      </c>
      <c r="B71" s="43" t="str">
        <f t="shared" ref="B71:B134" si="1">LEFT(C71,6)</f>
        <v>620218</v>
      </c>
      <c r="C71" s="45" t="s">
        <v>159</v>
      </c>
      <c r="D71" s="46">
        <v>131000</v>
      </c>
      <c r="E71" s="46">
        <v>131000</v>
      </c>
    </row>
    <row r="72" spans="1:5" x14ac:dyDescent="0.25">
      <c r="A72" s="6" t="s">
        <v>409</v>
      </c>
      <c r="B72" s="43" t="str">
        <f t="shared" si="1"/>
        <v>620220</v>
      </c>
      <c r="C72" s="45" t="s">
        <v>160</v>
      </c>
      <c r="D72" s="46">
        <v>381300</v>
      </c>
      <c r="E72" s="46">
        <v>381300</v>
      </c>
    </row>
    <row r="73" spans="1:5" x14ac:dyDescent="0.25">
      <c r="A73" s="6" t="s">
        <v>409</v>
      </c>
      <c r="B73" s="43" t="str">
        <f t="shared" si="1"/>
        <v>620222</v>
      </c>
      <c r="C73" s="45" t="s">
        <v>161</v>
      </c>
      <c r="D73" s="46">
        <v>34000</v>
      </c>
      <c r="E73" s="46">
        <v>34000</v>
      </c>
    </row>
    <row r="74" spans="1:5" x14ac:dyDescent="0.25">
      <c r="A74" s="6" t="s">
        <v>411</v>
      </c>
      <c r="B74" s="43" t="str">
        <f t="shared" si="1"/>
        <v>630001</v>
      </c>
      <c r="C74" s="45" t="s">
        <v>162</v>
      </c>
      <c r="D74" s="46">
        <v>3320500</v>
      </c>
      <c r="E74" s="46">
        <v>3320500</v>
      </c>
    </row>
    <row r="75" spans="1:5" x14ac:dyDescent="0.25">
      <c r="A75" s="6" t="s">
        <v>412</v>
      </c>
      <c r="B75" s="43" t="str">
        <f t="shared" si="1"/>
        <v>630201</v>
      </c>
      <c r="C75" s="45" t="s">
        <v>163</v>
      </c>
      <c r="D75" s="46">
        <v>1393512</v>
      </c>
      <c r="E75" s="46">
        <v>1393512</v>
      </c>
    </row>
    <row r="76" spans="1:5" x14ac:dyDescent="0.25">
      <c r="A76" s="6" t="s">
        <v>413</v>
      </c>
      <c r="B76" s="43" t="str">
        <f t="shared" si="1"/>
        <v>630401</v>
      </c>
      <c r="C76" s="45" t="s">
        <v>164</v>
      </c>
      <c r="D76" s="46">
        <v>274700</v>
      </c>
      <c r="E76" s="46">
        <v>274700</v>
      </c>
    </row>
    <row r="77" spans="1:5" x14ac:dyDescent="0.25">
      <c r="A77" s="6" t="s">
        <v>414</v>
      </c>
      <c r="B77" s="43" t="str">
        <f t="shared" si="1"/>
        <v>630601</v>
      </c>
      <c r="C77" s="45" t="s">
        <v>165</v>
      </c>
      <c r="D77" s="46">
        <v>1818877</v>
      </c>
      <c r="E77" s="46">
        <v>1818877</v>
      </c>
    </row>
    <row r="78" spans="1:5" x14ac:dyDescent="0.25">
      <c r="A78" s="6" t="s">
        <v>414</v>
      </c>
      <c r="B78" s="43" t="str">
        <f t="shared" si="1"/>
        <v>630602</v>
      </c>
      <c r="C78" s="45" t="s">
        <v>166</v>
      </c>
      <c r="D78" s="46">
        <v>276901</v>
      </c>
      <c r="E78" s="46">
        <v>276901</v>
      </c>
    </row>
    <row r="79" spans="1:5" x14ac:dyDescent="0.25">
      <c r="A79" s="6" t="s">
        <v>414</v>
      </c>
      <c r="B79" s="43" t="str">
        <f t="shared" si="1"/>
        <v>630603</v>
      </c>
      <c r="C79" s="45" t="s">
        <v>167</v>
      </c>
      <c r="D79" s="46">
        <v>50825</v>
      </c>
      <c r="E79" s="46">
        <v>50825</v>
      </c>
    </row>
    <row r="80" spans="1:5" x14ac:dyDescent="0.25">
      <c r="A80" s="6" t="s">
        <v>415</v>
      </c>
      <c r="B80" s="43" t="str">
        <f t="shared" si="1"/>
        <v>630801</v>
      </c>
      <c r="C80" s="45" t="s">
        <v>168</v>
      </c>
      <c r="D80" s="46">
        <v>1867622</v>
      </c>
      <c r="E80" s="46">
        <v>1867622</v>
      </c>
    </row>
    <row r="81" spans="1:5" x14ac:dyDescent="0.25">
      <c r="A81" s="6" t="s">
        <v>416</v>
      </c>
      <c r="B81" s="43" t="str">
        <f t="shared" si="1"/>
        <v>630802</v>
      </c>
      <c r="C81" s="45" t="s">
        <v>169</v>
      </c>
      <c r="D81" s="46">
        <v>1568390</v>
      </c>
      <c r="E81" s="46">
        <v>1568390</v>
      </c>
    </row>
    <row r="82" spans="1:5" x14ac:dyDescent="0.25">
      <c r="A82" s="6" t="s">
        <v>417</v>
      </c>
      <c r="B82" s="43" t="str">
        <f t="shared" si="1"/>
        <v>631201</v>
      </c>
      <c r="C82" s="45" t="s">
        <v>170</v>
      </c>
      <c r="D82" s="46">
        <v>8754502</v>
      </c>
      <c r="E82" s="46">
        <v>8754502</v>
      </c>
    </row>
    <row r="83" spans="1:5" x14ac:dyDescent="0.25">
      <c r="A83" s="6" t="s">
        <v>418</v>
      </c>
      <c r="B83" s="43" t="str">
        <f t="shared" si="1"/>
        <v>631202</v>
      </c>
      <c r="C83" s="45" t="s">
        <v>171</v>
      </c>
      <c r="D83" s="46">
        <v>2357212</v>
      </c>
      <c r="E83" s="46">
        <v>2357212</v>
      </c>
    </row>
    <row r="84" spans="1:5" x14ac:dyDescent="0.25">
      <c r="A84" s="6" t="s">
        <v>498</v>
      </c>
      <c r="B84" s="43" t="str">
        <f t="shared" si="1"/>
        <v>631211</v>
      </c>
      <c r="C84" s="45" t="s">
        <v>172</v>
      </c>
      <c r="D84" s="46">
        <v>1521941</v>
      </c>
      <c r="E84" s="46">
        <v>1521941</v>
      </c>
    </row>
    <row r="85" spans="1:5" x14ac:dyDescent="0.25">
      <c r="A85" s="6" t="s">
        <v>419</v>
      </c>
      <c r="B85" s="43" t="str">
        <f t="shared" si="1"/>
        <v>631401</v>
      </c>
      <c r="C85" s="45" t="s">
        <v>173</v>
      </c>
      <c r="D85" s="46">
        <v>324000</v>
      </c>
      <c r="E85" s="46">
        <v>324000</v>
      </c>
    </row>
    <row r="86" spans="1:5" x14ac:dyDescent="0.25">
      <c r="A86" s="6"/>
      <c r="B86" s="43" t="str">
        <f t="shared" si="1"/>
        <v>631601</v>
      </c>
      <c r="C86" s="45" t="s">
        <v>174</v>
      </c>
      <c r="D86" s="46">
        <v>-23528982</v>
      </c>
      <c r="E86" s="46">
        <v>-23528982</v>
      </c>
    </row>
    <row r="87" spans="1:5" x14ac:dyDescent="0.25">
      <c r="A87" s="6" t="s">
        <v>420</v>
      </c>
      <c r="B87" s="43" t="str">
        <f t="shared" si="1"/>
        <v>640001</v>
      </c>
      <c r="C87" s="45" t="s">
        <v>175</v>
      </c>
      <c r="D87" s="46">
        <v>77000</v>
      </c>
      <c r="E87" s="46">
        <v>77000</v>
      </c>
    </row>
    <row r="88" spans="1:5" x14ac:dyDescent="0.25">
      <c r="A88" s="6" t="s">
        <v>409</v>
      </c>
      <c r="B88" s="43" t="str">
        <f t="shared" si="1"/>
        <v>640201</v>
      </c>
      <c r="C88" s="45" t="s">
        <v>176</v>
      </c>
      <c r="D88" s="46">
        <v>39984</v>
      </c>
      <c r="E88" s="46">
        <v>39984</v>
      </c>
    </row>
    <row r="89" spans="1:5" x14ac:dyDescent="0.25">
      <c r="A89" s="6" t="s">
        <v>597</v>
      </c>
      <c r="B89" s="43" t="str">
        <f t="shared" si="1"/>
        <v>641001</v>
      </c>
      <c r="C89" s="45" t="s">
        <v>177</v>
      </c>
      <c r="D89" s="46">
        <v>450000</v>
      </c>
      <c r="E89" s="46">
        <v>450000</v>
      </c>
    </row>
    <row r="90" spans="1:5" x14ac:dyDescent="0.25">
      <c r="A90" s="6" t="s">
        <v>421</v>
      </c>
      <c r="B90" s="43" t="str">
        <f t="shared" si="1"/>
        <v>641299</v>
      </c>
      <c r="C90" s="45" t="s">
        <v>178</v>
      </c>
      <c r="D90" s="46">
        <v>160000</v>
      </c>
      <c r="E90" s="46">
        <v>160000</v>
      </c>
    </row>
    <row r="91" spans="1:5" x14ac:dyDescent="0.25">
      <c r="A91" s="6" t="s">
        <v>422</v>
      </c>
      <c r="B91" s="43" t="str">
        <f t="shared" si="1"/>
        <v>642001</v>
      </c>
      <c r="C91" s="45" t="s">
        <v>179</v>
      </c>
      <c r="D91" s="46">
        <v>22300</v>
      </c>
      <c r="E91" s="46">
        <v>22300</v>
      </c>
    </row>
    <row r="92" spans="1:5" x14ac:dyDescent="0.25">
      <c r="A92" s="6" t="s">
        <v>422</v>
      </c>
      <c r="B92" s="43" t="str">
        <f t="shared" si="1"/>
        <v>642002</v>
      </c>
      <c r="C92" s="45" t="s">
        <v>180</v>
      </c>
      <c r="D92" s="46">
        <v>135069</v>
      </c>
      <c r="E92" s="46">
        <v>135069</v>
      </c>
    </row>
    <row r="93" spans="1:5" x14ac:dyDescent="0.25">
      <c r="A93" s="6" t="s">
        <v>422</v>
      </c>
      <c r="B93" s="43" t="str">
        <f t="shared" si="1"/>
        <v>642003</v>
      </c>
      <c r="C93" s="45" t="s">
        <v>181</v>
      </c>
      <c r="D93" s="46">
        <v>22500</v>
      </c>
      <c r="E93" s="46">
        <v>22500</v>
      </c>
    </row>
    <row r="94" spans="1:5" x14ac:dyDescent="0.25">
      <c r="A94" s="6" t="s">
        <v>422</v>
      </c>
      <c r="B94" s="43" t="str">
        <f t="shared" si="1"/>
        <v>642005</v>
      </c>
      <c r="C94" s="45" t="s">
        <v>182</v>
      </c>
      <c r="D94" s="46">
        <v>10000</v>
      </c>
      <c r="E94" s="46">
        <v>10000</v>
      </c>
    </row>
    <row r="95" spans="1:5" x14ac:dyDescent="0.25">
      <c r="A95" s="6" t="s">
        <v>422</v>
      </c>
      <c r="B95" s="43" t="str">
        <f t="shared" si="1"/>
        <v>642006</v>
      </c>
      <c r="C95" s="45" t="s">
        <v>183</v>
      </c>
      <c r="D95" s="46">
        <v>20000</v>
      </c>
      <c r="E95" s="46">
        <v>20000</v>
      </c>
    </row>
    <row r="96" spans="1:5" x14ac:dyDescent="0.25">
      <c r="A96" s="6" t="s">
        <v>422</v>
      </c>
      <c r="B96" s="43" t="str">
        <f t="shared" si="1"/>
        <v>642007</v>
      </c>
      <c r="C96" s="45" t="s">
        <v>184</v>
      </c>
      <c r="D96" s="46">
        <v>84525</v>
      </c>
      <c r="E96" s="46">
        <v>84525</v>
      </c>
    </row>
    <row r="97" spans="1:5" x14ac:dyDescent="0.25">
      <c r="A97" s="6" t="s">
        <v>422</v>
      </c>
      <c r="B97" s="43" t="str">
        <f t="shared" si="1"/>
        <v>642008</v>
      </c>
      <c r="C97" s="45" t="s">
        <v>185</v>
      </c>
      <c r="D97" s="46">
        <v>567301</v>
      </c>
      <c r="E97" s="46">
        <v>567301</v>
      </c>
    </row>
    <row r="98" spans="1:5" x14ac:dyDescent="0.25">
      <c r="A98" s="6" t="s">
        <v>423</v>
      </c>
      <c r="B98" s="43" t="str">
        <f t="shared" si="1"/>
        <v>642201</v>
      </c>
      <c r="C98" s="45" t="s">
        <v>186</v>
      </c>
      <c r="D98" s="46">
        <v>1009724</v>
      </c>
      <c r="E98" s="46">
        <v>1009724</v>
      </c>
    </row>
    <row r="99" spans="1:5" x14ac:dyDescent="0.25">
      <c r="A99" s="6" t="s">
        <v>423</v>
      </c>
      <c r="B99" s="43" t="str">
        <f t="shared" si="1"/>
        <v>642202</v>
      </c>
      <c r="C99" s="45" t="s">
        <v>187</v>
      </c>
      <c r="D99" s="46">
        <v>207552</v>
      </c>
      <c r="E99" s="46">
        <v>207552</v>
      </c>
    </row>
    <row r="100" spans="1:5" x14ac:dyDescent="0.25">
      <c r="A100" s="6" t="s">
        <v>424</v>
      </c>
      <c r="B100" s="43" t="str">
        <f t="shared" si="1"/>
        <v>642301</v>
      </c>
      <c r="C100" s="45" t="s">
        <v>188</v>
      </c>
      <c r="D100" s="46">
        <v>206225</v>
      </c>
      <c r="E100" s="46">
        <v>206225</v>
      </c>
    </row>
    <row r="101" spans="1:5" x14ac:dyDescent="0.25">
      <c r="A101" s="6" t="s">
        <v>425</v>
      </c>
      <c r="B101" s="43" t="str">
        <f t="shared" si="1"/>
        <v>642401</v>
      </c>
      <c r="C101" s="45" t="s">
        <v>189</v>
      </c>
      <c r="D101" s="46">
        <v>521124</v>
      </c>
      <c r="E101" s="46">
        <v>521124</v>
      </c>
    </row>
    <row r="102" spans="1:5" x14ac:dyDescent="0.25">
      <c r="A102" s="6" t="s">
        <v>426</v>
      </c>
      <c r="B102" s="43" t="str">
        <f t="shared" si="1"/>
        <v>643001</v>
      </c>
      <c r="C102" s="45" t="s">
        <v>190</v>
      </c>
      <c r="D102" s="46">
        <v>1685823</v>
      </c>
      <c r="E102" s="46">
        <v>1685823</v>
      </c>
    </row>
    <row r="103" spans="1:5" x14ac:dyDescent="0.25">
      <c r="A103" s="6" t="s">
        <v>426</v>
      </c>
      <c r="B103" s="43" t="str">
        <f t="shared" si="1"/>
        <v>643002</v>
      </c>
      <c r="C103" s="45" t="s">
        <v>191</v>
      </c>
      <c r="D103" s="46">
        <v>318576</v>
      </c>
      <c r="E103" s="46">
        <v>318576</v>
      </c>
    </row>
    <row r="104" spans="1:5" x14ac:dyDescent="0.25">
      <c r="A104" s="6" t="s">
        <v>426</v>
      </c>
      <c r="B104" s="43" t="str">
        <f t="shared" si="1"/>
        <v>643003</v>
      </c>
      <c r="C104" s="45" t="s">
        <v>192</v>
      </c>
      <c r="D104" s="46">
        <v>398800</v>
      </c>
      <c r="E104" s="46">
        <v>398800</v>
      </c>
    </row>
    <row r="105" spans="1:5" x14ac:dyDescent="0.25">
      <c r="A105" s="6" t="s">
        <v>426</v>
      </c>
      <c r="B105" s="43" t="str">
        <f t="shared" si="1"/>
        <v>643006</v>
      </c>
      <c r="C105" s="45" t="s">
        <v>193</v>
      </c>
      <c r="D105" s="46">
        <v>224845</v>
      </c>
      <c r="E105" s="46">
        <v>224845</v>
      </c>
    </row>
    <row r="106" spans="1:5" x14ac:dyDescent="0.25">
      <c r="A106" s="6" t="s">
        <v>426</v>
      </c>
      <c r="B106" s="43" t="str">
        <f t="shared" si="1"/>
        <v>643007</v>
      </c>
      <c r="C106" s="45" t="s">
        <v>194</v>
      </c>
      <c r="D106" s="46">
        <v>144000</v>
      </c>
      <c r="E106" s="46">
        <v>144000</v>
      </c>
    </row>
    <row r="107" spans="1:5" x14ac:dyDescent="0.25">
      <c r="A107" s="6" t="s">
        <v>427</v>
      </c>
      <c r="B107" s="43" t="str">
        <f t="shared" si="1"/>
        <v>643201</v>
      </c>
      <c r="C107" s="45" t="s">
        <v>195</v>
      </c>
      <c r="D107" s="46">
        <v>269787</v>
      </c>
      <c r="E107" s="46">
        <v>269787</v>
      </c>
    </row>
    <row r="108" spans="1:5" x14ac:dyDescent="0.25">
      <c r="A108" s="6" t="s">
        <v>428</v>
      </c>
      <c r="B108" s="43" t="str">
        <f t="shared" si="1"/>
        <v>643202</v>
      </c>
      <c r="C108" s="45" t="s">
        <v>196</v>
      </c>
      <c r="D108" s="46">
        <v>2260724</v>
      </c>
      <c r="E108" s="46">
        <v>2260724</v>
      </c>
    </row>
    <row r="109" spans="1:5" x14ac:dyDescent="0.25">
      <c r="A109" s="6" t="s">
        <v>429</v>
      </c>
      <c r="B109" s="43" t="str">
        <f t="shared" si="1"/>
        <v>643204</v>
      </c>
      <c r="C109" s="45" t="s">
        <v>197</v>
      </c>
      <c r="D109" s="46">
        <v>260788</v>
      </c>
      <c r="E109" s="46">
        <v>260788</v>
      </c>
    </row>
    <row r="110" spans="1:5" x14ac:dyDescent="0.25">
      <c r="A110" s="6" t="s">
        <v>430</v>
      </c>
      <c r="B110" s="43" t="str">
        <f t="shared" si="1"/>
        <v>643206</v>
      </c>
      <c r="C110" s="45" t="s">
        <v>198</v>
      </c>
      <c r="D110" s="46">
        <v>606000</v>
      </c>
      <c r="E110" s="46">
        <v>606000</v>
      </c>
    </row>
    <row r="111" spans="1:5" x14ac:dyDescent="0.25">
      <c r="A111" s="6" t="s">
        <v>409</v>
      </c>
      <c r="B111" s="43" t="str">
        <f t="shared" si="1"/>
        <v>643401</v>
      </c>
      <c r="C111" s="45" t="s">
        <v>199</v>
      </c>
      <c r="D111" s="46">
        <v>146256</v>
      </c>
      <c r="E111" s="46">
        <v>146256</v>
      </c>
    </row>
    <row r="112" spans="1:5" x14ac:dyDescent="0.25">
      <c r="A112" s="6" t="s">
        <v>431</v>
      </c>
      <c r="B112" s="43" t="str">
        <f t="shared" si="1"/>
        <v>643402</v>
      </c>
      <c r="C112" s="45" t="s">
        <v>200</v>
      </c>
      <c r="D112" s="46">
        <v>39000</v>
      </c>
      <c r="E112" s="46">
        <v>39000</v>
      </c>
    </row>
    <row r="113" spans="1:5" x14ac:dyDescent="0.25">
      <c r="A113" s="6" t="s">
        <v>432</v>
      </c>
      <c r="B113" s="43" t="str">
        <f t="shared" si="1"/>
        <v>643601</v>
      </c>
      <c r="C113" s="45" t="s">
        <v>201</v>
      </c>
      <c r="D113" s="46">
        <v>210000</v>
      </c>
      <c r="E113" s="46">
        <v>210000</v>
      </c>
    </row>
    <row r="114" spans="1:5" x14ac:dyDescent="0.25">
      <c r="A114" s="6" t="s">
        <v>432</v>
      </c>
      <c r="B114" s="43" t="str">
        <f t="shared" si="1"/>
        <v>643699</v>
      </c>
      <c r="C114" s="45" t="s">
        <v>202</v>
      </c>
      <c r="D114" s="46">
        <v>53780</v>
      </c>
      <c r="E114" s="46">
        <v>53780</v>
      </c>
    </row>
    <row r="115" spans="1:5" x14ac:dyDescent="0.25">
      <c r="A115" s="6" t="s">
        <v>433</v>
      </c>
      <c r="B115" s="43" t="str">
        <f t="shared" si="1"/>
        <v>644001</v>
      </c>
      <c r="C115" s="45" t="s">
        <v>203</v>
      </c>
      <c r="D115" s="46">
        <v>65232</v>
      </c>
      <c r="E115" s="46">
        <v>65232</v>
      </c>
    </row>
    <row r="116" spans="1:5" x14ac:dyDescent="0.25">
      <c r="A116" s="6" t="s">
        <v>434</v>
      </c>
      <c r="B116" s="43" t="str">
        <f t="shared" si="1"/>
        <v>644201</v>
      </c>
      <c r="C116" s="45" t="s">
        <v>204</v>
      </c>
      <c r="D116" s="46">
        <v>394620</v>
      </c>
      <c r="E116" s="46">
        <v>394620</v>
      </c>
    </row>
    <row r="117" spans="1:5" x14ac:dyDescent="0.25">
      <c r="A117" s="6" t="s">
        <v>435</v>
      </c>
      <c r="B117" s="43" t="str">
        <f t="shared" si="1"/>
        <v>644401</v>
      </c>
      <c r="C117" s="45" t="s">
        <v>205</v>
      </c>
      <c r="D117" s="46">
        <v>100000</v>
      </c>
      <c r="E117" s="46">
        <v>100000</v>
      </c>
    </row>
    <row r="118" spans="1:5" x14ac:dyDescent="0.25">
      <c r="A118" s="6" t="s">
        <v>435</v>
      </c>
      <c r="B118" s="43" t="str">
        <f t="shared" si="1"/>
        <v>644405</v>
      </c>
      <c r="C118" s="45" t="s">
        <v>206</v>
      </c>
      <c r="D118" s="46">
        <v>94000</v>
      </c>
      <c r="E118" s="46">
        <v>94000</v>
      </c>
    </row>
    <row r="119" spans="1:5" x14ac:dyDescent="0.25">
      <c r="A119" s="6" t="s">
        <v>499</v>
      </c>
      <c r="B119" s="43" t="str">
        <f t="shared" si="1"/>
        <v>644501</v>
      </c>
      <c r="C119" s="45" t="s">
        <v>207</v>
      </c>
      <c r="D119" s="46">
        <v>622320</v>
      </c>
      <c r="E119" s="46">
        <v>622320</v>
      </c>
    </row>
    <row r="120" spans="1:5" x14ac:dyDescent="0.25">
      <c r="A120" s="6" t="s">
        <v>431</v>
      </c>
      <c r="B120" s="43" t="str">
        <f t="shared" si="1"/>
        <v>644601</v>
      </c>
      <c r="C120" s="45" t="s">
        <v>208</v>
      </c>
      <c r="D120" s="46">
        <v>15000</v>
      </c>
      <c r="E120" s="46">
        <v>15000</v>
      </c>
    </row>
    <row r="121" spans="1:5" x14ac:dyDescent="0.25">
      <c r="A121" s="6" t="s">
        <v>431</v>
      </c>
      <c r="B121" s="43" t="str">
        <f t="shared" si="1"/>
        <v>644603</v>
      </c>
      <c r="C121" s="45" t="s">
        <v>209</v>
      </c>
      <c r="D121" s="46">
        <v>79000</v>
      </c>
      <c r="E121" s="46">
        <v>79000</v>
      </c>
    </row>
    <row r="122" spans="1:5" x14ac:dyDescent="0.25">
      <c r="A122" s="6" t="s">
        <v>431</v>
      </c>
      <c r="B122" s="43" t="str">
        <f t="shared" si="1"/>
        <v>644604</v>
      </c>
      <c r="C122" s="45" t="s">
        <v>210</v>
      </c>
      <c r="D122" s="46">
        <v>60000</v>
      </c>
      <c r="E122" s="46">
        <v>60000</v>
      </c>
    </row>
    <row r="123" spans="1:5" x14ac:dyDescent="0.25">
      <c r="A123" s="6" t="s">
        <v>431</v>
      </c>
      <c r="B123" s="43" t="str">
        <f t="shared" si="1"/>
        <v>644607</v>
      </c>
      <c r="C123" s="45" t="s">
        <v>211</v>
      </c>
      <c r="D123" s="46">
        <v>65000</v>
      </c>
      <c r="E123" s="46">
        <v>65000</v>
      </c>
    </row>
    <row r="124" spans="1:5" x14ac:dyDescent="0.25">
      <c r="A124" s="6" t="s">
        <v>431</v>
      </c>
      <c r="B124" s="43" t="str">
        <f t="shared" si="1"/>
        <v>644609</v>
      </c>
      <c r="C124" s="45" t="s">
        <v>212</v>
      </c>
      <c r="D124" s="46">
        <v>160000</v>
      </c>
      <c r="E124" s="46">
        <v>160000</v>
      </c>
    </row>
    <row r="125" spans="1:5" x14ac:dyDescent="0.25">
      <c r="A125" s="6" t="s">
        <v>431</v>
      </c>
      <c r="B125" s="43" t="str">
        <f t="shared" si="1"/>
        <v>644610</v>
      </c>
      <c r="C125" s="45" t="s">
        <v>213</v>
      </c>
      <c r="D125" s="46">
        <v>43900</v>
      </c>
      <c r="E125" s="46">
        <v>43900</v>
      </c>
    </row>
    <row r="126" spans="1:5" x14ac:dyDescent="0.25">
      <c r="A126" s="6" t="s">
        <v>436</v>
      </c>
      <c r="B126" s="43" t="str">
        <f t="shared" si="1"/>
        <v>644802</v>
      </c>
      <c r="C126" s="45" t="s">
        <v>214</v>
      </c>
      <c r="D126" s="46">
        <v>163200</v>
      </c>
      <c r="E126" s="46">
        <v>163200</v>
      </c>
    </row>
    <row r="127" spans="1:5" x14ac:dyDescent="0.25">
      <c r="A127" s="6" t="s">
        <v>409</v>
      </c>
      <c r="B127" s="43" t="str">
        <f t="shared" si="1"/>
        <v>645001</v>
      </c>
      <c r="C127" s="45" t="s">
        <v>215</v>
      </c>
      <c r="D127" s="46">
        <v>1047300</v>
      </c>
      <c r="E127" s="46">
        <v>1216606</v>
      </c>
    </row>
    <row r="128" spans="1:5" x14ac:dyDescent="0.25">
      <c r="A128" s="6" t="s">
        <v>409</v>
      </c>
      <c r="B128" s="43" t="str">
        <f t="shared" si="1"/>
        <v>645002</v>
      </c>
      <c r="C128" s="45" t="s">
        <v>216</v>
      </c>
      <c r="D128" s="46">
        <v>122000</v>
      </c>
      <c r="E128" s="46">
        <v>170714</v>
      </c>
    </row>
    <row r="129" spans="1:5" x14ac:dyDescent="0.25">
      <c r="A129" s="6" t="s">
        <v>437</v>
      </c>
      <c r="B129" s="43" t="str">
        <f t="shared" si="1"/>
        <v>645201</v>
      </c>
      <c r="C129" s="45" t="s">
        <v>217</v>
      </c>
      <c r="D129" s="46">
        <v>2510000</v>
      </c>
      <c r="E129" s="46">
        <v>2510000</v>
      </c>
    </row>
    <row r="130" spans="1:5" x14ac:dyDescent="0.25">
      <c r="A130" s="6" t="s">
        <v>438</v>
      </c>
      <c r="B130" s="43" t="str">
        <f t="shared" si="1"/>
        <v>645401</v>
      </c>
      <c r="C130" s="45" t="s">
        <v>218</v>
      </c>
      <c r="D130" s="46">
        <v>241419</v>
      </c>
      <c r="E130" s="46">
        <v>241419</v>
      </c>
    </row>
    <row r="131" spans="1:5" x14ac:dyDescent="0.25">
      <c r="A131" s="6" t="s">
        <v>438</v>
      </c>
      <c r="B131" s="43" t="str">
        <f t="shared" si="1"/>
        <v>645403</v>
      </c>
      <c r="C131" s="45" t="s">
        <v>219</v>
      </c>
      <c r="D131" s="46">
        <v>230340</v>
      </c>
      <c r="E131" s="46">
        <v>230340</v>
      </c>
    </row>
    <row r="132" spans="1:5" x14ac:dyDescent="0.25">
      <c r="A132" s="6" t="s">
        <v>409</v>
      </c>
      <c r="B132" s="43" t="str">
        <f t="shared" si="1"/>
        <v>645801</v>
      </c>
      <c r="C132" s="45" t="s">
        <v>220</v>
      </c>
      <c r="D132" s="46">
        <v>556504</v>
      </c>
      <c r="E132" s="46">
        <v>556504</v>
      </c>
    </row>
    <row r="133" spans="1:5" x14ac:dyDescent="0.25">
      <c r="A133" s="6" t="s">
        <v>408</v>
      </c>
      <c r="B133" s="43" t="str">
        <f t="shared" si="1"/>
        <v>646001</v>
      </c>
      <c r="C133" s="45" t="s">
        <v>221</v>
      </c>
      <c r="D133" s="46">
        <v>663104</v>
      </c>
      <c r="E133" s="46">
        <v>663104</v>
      </c>
    </row>
    <row r="134" spans="1:5" x14ac:dyDescent="0.25">
      <c r="A134" s="6" t="s">
        <v>408</v>
      </c>
      <c r="B134" s="43" t="str">
        <f t="shared" si="1"/>
        <v>646002</v>
      </c>
      <c r="C134" s="45" t="s">
        <v>222</v>
      </c>
      <c r="D134" s="46">
        <v>140100</v>
      </c>
      <c r="E134" s="46">
        <v>140100</v>
      </c>
    </row>
    <row r="135" spans="1:5" x14ac:dyDescent="0.25">
      <c r="A135" s="6" t="s">
        <v>408</v>
      </c>
      <c r="B135" s="43" t="str">
        <f t="shared" ref="B135:B198" si="2">LEFT(C135,6)</f>
        <v>646003</v>
      </c>
      <c r="C135" s="45" t="s">
        <v>223</v>
      </c>
      <c r="D135" s="46">
        <v>325160</v>
      </c>
      <c r="E135" s="46">
        <v>325160</v>
      </c>
    </row>
    <row r="136" spans="1:5" x14ac:dyDescent="0.25">
      <c r="A136" s="6" t="s">
        <v>408</v>
      </c>
      <c r="B136" s="43" t="str">
        <f t="shared" si="2"/>
        <v>646005</v>
      </c>
      <c r="C136" s="45" t="s">
        <v>224</v>
      </c>
      <c r="D136" s="46">
        <v>5000</v>
      </c>
      <c r="E136" s="46">
        <v>5000</v>
      </c>
    </row>
    <row r="137" spans="1:5" x14ac:dyDescent="0.25">
      <c r="A137" s="6" t="s">
        <v>408</v>
      </c>
      <c r="B137" s="43" t="str">
        <f t="shared" si="2"/>
        <v>646006</v>
      </c>
      <c r="C137" s="45" t="s">
        <v>225</v>
      </c>
      <c r="D137" s="46">
        <v>70000</v>
      </c>
      <c r="E137" s="46">
        <v>70000</v>
      </c>
    </row>
    <row r="138" spans="1:5" x14ac:dyDescent="0.25">
      <c r="A138" s="6" t="s">
        <v>408</v>
      </c>
      <c r="B138" s="43" t="str">
        <f t="shared" si="2"/>
        <v>646007</v>
      </c>
      <c r="C138" s="45" t="s">
        <v>226</v>
      </c>
      <c r="D138" s="46">
        <v>6000</v>
      </c>
      <c r="E138" s="46">
        <v>6000</v>
      </c>
    </row>
    <row r="139" spans="1:5" x14ac:dyDescent="0.25">
      <c r="A139" s="6" t="s">
        <v>439</v>
      </c>
      <c r="B139" s="43" t="str">
        <f t="shared" si="2"/>
        <v>646201</v>
      </c>
      <c r="C139" s="45" t="s">
        <v>227</v>
      </c>
      <c r="D139" s="46">
        <v>276000</v>
      </c>
      <c r="E139" s="46">
        <v>276000</v>
      </c>
    </row>
    <row r="140" spans="1:5" x14ac:dyDescent="0.25">
      <c r="A140" s="6" t="s">
        <v>439</v>
      </c>
      <c r="B140" s="43" t="str">
        <f t="shared" si="2"/>
        <v>646202</v>
      </c>
      <c r="C140" s="45" t="s">
        <v>228</v>
      </c>
      <c r="D140" s="46">
        <v>10000</v>
      </c>
      <c r="E140" s="46">
        <v>10000</v>
      </c>
    </row>
    <row r="141" spans="1:5" x14ac:dyDescent="0.25">
      <c r="A141" s="6" t="s">
        <v>439</v>
      </c>
      <c r="B141" s="43" t="str">
        <f t="shared" si="2"/>
        <v>646203</v>
      </c>
      <c r="C141" s="45" t="s">
        <v>229</v>
      </c>
      <c r="D141" s="46">
        <v>448500</v>
      </c>
      <c r="E141" s="46">
        <v>448500</v>
      </c>
    </row>
    <row r="142" spans="1:5" x14ac:dyDescent="0.25">
      <c r="A142" s="6" t="s">
        <v>439</v>
      </c>
      <c r="B142" s="43" t="str">
        <f t="shared" si="2"/>
        <v>646204</v>
      </c>
      <c r="C142" s="45" t="s">
        <v>230</v>
      </c>
      <c r="D142" s="46">
        <v>95000</v>
      </c>
      <c r="E142" s="46">
        <v>95000</v>
      </c>
    </row>
    <row r="143" spans="1:5" x14ac:dyDescent="0.25">
      <c r="A143" s="6" t="s">
        <v>408</v>
      </c>
      <c r="B143" s="43" t="str">
        <f t="shared" si="2"/>
        <v>646401</v>
      </c>
      <c r="C143" s="45" t="s">
        <v>231</v>
      </c>
      <c r="D143" s="46">
        <v>112905</v>
      </c>
      <c r="E143" s="46">
        <v>112905</v>
      </c>
    </row>
    <row r="144" spans="1:5" x14ac:dyDescent="0.25">
      <c r="A144" s="6" t="s">
        <v>408</v>
      </c>
      <c r="B144" s="43" t="str">
        <f t="shared" si="2"/>
        <v>646402</v>
      </c>
      <c r="C144" s="45" t="s">
        <v>232</v>
      </c>
      <c r="D144" s="46">
        <v>109500</v>
      </c>
      <c r="E144" s="46">
        <v>109500</v>
      </c>
    </row>
    <row r="145" spans="1:5" x14ac:dyDescent="0.25">
      <c r="A145" s="6" t="s">
        <v>408</v>
      </c>
      <c r="B145" s="43" t="str">
        <f t="shared" si="2"/>
        <v>646403</v>
      </c>
      <c r="C145" s="45" t="s">
        <v>233</v>
      </c>
      <c r="D145" s="46">
        <v>1100777</v>
      </c>
      <c r="E145" s="46">
        <v>1100777</v>
      </c>
    </row>
    <row r="146" spans="1:5" x14ac:dyDescent="0.25">
      <c r="A146" s="6" t="s">
        <v>408</v>
      </c>
      <c r="B146" s="43" t="str">
        <f t="shared" si="2"/>
        <v>646404</v>
      </c>
      <c r="C146" s="45" t="s">
        <v>234</v>
      </c>
      <c r="D146" s="46">
        <v>111210</v>
      </c>
      <c r="E146" s="46">
        <v>111210</v>
      </c>
    </row>
    <row r="147" spans="1:5" x14ac:dyDescent="0.25">
      <c r="A147" s="6" t="s">
        <v>408</v>
      </c>
      <c r="B147" s="43" t="str">
        <f t="shared" si="2"/>
        <v>646405</v>
      </c>
      <c r="C147" s="45" t="s">
        <v>235</v>
      </c>
      <c r="D147" s="46">
        <v>10000</v>
      </c>
      <c r="E147" s="46">
        <v>10000</v>
      </c>
    </row>
    <row r="148" spans="1:5" x14ac:dyDescent="0.25">
      <c r="A148" s="6" t="s">
        <v>408</v>
      </c>
      <c r="B148" s="43" t="str">
        <f t="shared" si="2"/>
        <v>646406</v>
      </c>
      <c r="C148" s="45" t="s">
        <v>236</v>
      </c>
      <c r="D148" s="46">
        <v>25000</v>
      </c>
      <c r="E148" s="46">
        <v>25000</v>
      </c>
    </row>
    <row r="149" spans="1:5" x14ac:dyDescent="0.25">
      <c r="A149" s="48" t="s">
        <v>408</v>
      </c>
      <c r="B149" s="43" t="str">
        <f t="shared" si="2"/>
        <v>646407</v>
      </c>
      <c r="C149" s="45" t="s">
        <v>237</v>
      </c>
      <c r="D149" s="46">
        <v>117000</v>
      </c>
      <c r="E149" s="46">
        <v>117000</v>
      </c>
    </row>
    <row r="150" spans="1:5" x14ac:dyDescent="0.25">
      <c r="A150" s="48" t="s">
        <v>408</v>
      </c>
      <c r="B150" s="43" t="str">
        <f t="shared" si="2"/>
        <v>646408</v>
      </c>
      <c r="C150" s="45" t="s">
        <v>238</v>
      </c>
      <c r="D150" s="46">
        <v>305360</v>
      </c>
      <c r="E150" s="46">
        <v>305360</v>
      </c>
    </row>
    <row r="151" spans="1:5" x14ac:dyDescent="0.25">
      <c r="A151" s="6" t="s">
        <v>424</v>
      </c>
      <c r="B151" s="43" t="str">
        <f t="shared" si="2"/>
        <v>660001</v>
      </c>
      <c r="C151" s="45" t="s">
        <v>239</v>
      </c>
      <c r="D151" s="46">
        <v>138070</v>
      </c>
      <c r="E151" s="46">
        <v>139434</v>
      </c>
    </row>
    <row r="152" spans="1:5" x14ac:dyDescent="0.25">
      <c r="A152" s="6" t="s">
        <v>440</v>
      </c>
      <c r="B152" s="43" t="str">
        <f t="shared" si="2"/>
        <v>660002</v>
      </c>
      <c r="C152" s="45" t="s">
        <v>240</v>
      </c>
      <c r="D152" s="46">
        <v>1328740</v>
      </c>
      <c r="E152" s="46">
        <v>1340583</v>
      </c>
    </row>
    <row r="153" spans="1:5" x14ac:dyDescent="0.25">
      <c r="A153" s="6" t="s">
        <v>408</v>
      </c>
      <c r="B153" s="43" t="str">
        <f t="shared" si="2"/>
        <v>660003</v>
      </c>
      <c r="C153" s="45" t="s">
        <v>241</v>
      </c>
      <c r="D153" s="46">
        <v>20200</v>
      </c>
      <c r="E153" s="46">
        <v>20200</v>
      </c>
    </row>
    <row r="154" spans="1:5" x14ac:dyDescent="0.25">
      <c r="A154" s="6" t="s">
        <v>424</v>
      </c>
      <c r="B154" s="43" t="str">
        <f t="shared" si="2"/>
        <v>660004</v>
      </c>
      <c r="C154" s="45" t="s">
        <v>242</v>
      </c>
      <c r="D154" s="46">
        <v>20000</v>
      </c>
      <c r="E154" s="46">
        <v>20000</v>
      </c>
    </row>
    <row r="155" spans="1:5" x14ac:dyDescent="0.25">
      <c r="A155" s="6" t="s">
        <v>409</v>
      </c>
      <c r="B155" s="43" t="str">
        <f t="shared" si="2"/>
        <v>660005</v>
      </c>
      <c r="C155" s="45" t="s">
        <v>243</v>
      </c>
      <c r="D155" s="46">
        <v>60000</v>
      </c>
      <c r="E155" s="46">
        <v>60000</v>
      </c>
    </row>
    <row r="156" spans="1:5" x14ac:dyDescent="0.25">
      <c r="A156" s="6" t="s">
        <v>441</v>
      </c>
      <c r="B156" s="43" t="str">
        <f t="shared" si="2"/>
        <v>660007</v>
      </c>
      <c r="C156" s="45" t="s">
        <v>244</v>
      </c>
      <c r="D156" s="46">
        <v>31200</v>
      </c>
      <c r="E156" s="46">
        <v>31200</v>
      </c>
    </row>
    <row r="157" spans="1:5" x14ac:dyDescent="0.25">
      <c r="A157" s="6" t="s">
        <v>408</v>
      </c>
      <c r="B157" s="43" t="str">
        <f t="shared" si="2"/>
        <v>660009</v>
      </c>
      <c r="C157" s="45" t="s">
        <v>245</v>
      </c>
      <c r="D157" s="46">
        <v>472030</v>
      </c>
      <c r="E157" s="46">
        <v>472030</v>
      </c>
    </row>
    <row r="158" spans="1:5" x14ac:dyDescent="0.25">
      <c r="A158" s="6" t="s">
        <v>408</v>
      </c>
      <c r="B158" s="43" t="str">
        <f t="shared" si="2"/>
        <v>660010</v>
      </c>
      <c r="C158" s="45" t="s">
        <v>246</v>
      </c>
      <c r="D158" s="46">
        <v>91503</v>
      </c>
      <c r="E158" s="46">
        <v>91503</v>
      </c>
    </row>
    <row r="159" spans="1:5" x14ac:dyDescent="0.25">
      <c r="A159" s="6" t="s">
        <v>408</v>
      </c>
      <c r="B159" s="43" t="str">
        <f t="shared" si="2"/>
        <v>660024</v>
      </c>
      <c r="C159" s="45" t="s">
        <v>247</v>
      </c>
      <c r="D159" s="46">
        <v>21996</v>
      </c>
      <c r="E159" s="46">
        <v>21996</v>
      </c>
    </row>
    <row r="160" spans="1:5" x14ac:dyDescent="0.25">
      <c r="A160" s="6"/>
      <c r="B160" s="43" t="str">
        <f t="shared" si="2"/>
        <v>690002</v>
      </c>
      <c r="C160" s="45" t="s">
        <v>248</v>
      </c>
      <c r="D160" s="46">
        <v>1873095</v>
      </c>
      <c r="E160" s="46">
        <v>1873095</v>
      </c>
    </row>
    <row r="161" spans="1:5" x14ac:dyDescent="0.25">
      <c r="A161" s="6"/>
      <c r="B161" s="43" t="str">
        <f t="shared" si="2"/>
        <v>690009</v>
      </c>
      <c r="C161" s="45" t="s">
        <v>249</v>
      </c>
      <c r="D161" s="46">
        <v>1263684</v>
      </c>
      <c r="E161" s="46">
        <v>1263684</v>
      </c>
    </row>
    <row r="162" spans="1:5" x14ac:dyDescent="0.25">
      <c r="A162" s="6"/>
      <c r="B162" s="43" t="str">
        <f t="shared" si="2"/>
        <v>690013</v>
      </c>
      <c r="C162" s="45" t="s">
        <v>250</v>
      </c>
      <c r="D162" s="46">
        <v>1294668</v>
      </c>
      <c r="E162" s="46">
        <v>1294668</v>
      </c>
    </row>
    <row r="163" spans="1:5" x14ac:dyDescent="0.25">
      <c r="A163" s="6"/>
      <c r="B163" s="43" t="str">
        <f t="shared" si="2"/>
        <v>690016</v>
      </c>
      <c r="C163" s="45" t="s">
        <v>251</v>
      </c>
      <c r="D163" s="46">
        <v>744395</v>
      </c>
      <c r="E163" s="46">
        <v>744395</v>
      </c>
    </row>
    <row r="164" spans="1:5" x14ac:dyDescent="0.25">
      <c r="A164" s="6"/>
      <c r="B164" s="43" t="str">
        <f t="shared" si="2"/>
        <v>690018</v>
      </c>
      <c r="C164" s="45" t="s">
        <v>252</v>
      </c>
      <c r="D164" s="46">
        <v>150000</v>
      </c>
      <c r="E164" s="46">
        <v>150000</v>
      </c>
    </row>
    <row r="165" spans="1:5" x14ac:dyDescent="0.25">
      <c r="A165" s="6"/>
      <c r="B165" s="43" t="str">
        <f t="shared" si="2"/>
        <v>690019</v>
      </c>
      <c r="C165" s="45" t="s">
        <v>253</v>
      </c>
      <c r="D165" s="46">
        <v>66120</v>
      </c>
      <c r="E165" s="46">
        <v>66120</v>
      </c>
    </row>
    <row r="166" spans="1:5" x14ac:dyDescent="0.25">
      <c r="A166" s="6"/>
      <c r="B166" s="43" t="str">
        <f t="shared" si="2"/>
        <v>690021</v>
      </c>
      <c r="C166" s="45" t="s">
        <v>254</v>
      </c>
      <c r="D166" s="46">
        <v>732392</v>
      </c>
      <c r="E166" s="46">
        <v>732392</v>
      </c>
    </row>
    <row r="167" spans="1:5" x14ac:dyDescent="0.25">
      <c r="A167" s="6"/>
      <c r="B167" s="43" t="str">
        <f t="shared" si="2"/>
        <v>690023</v>
      </c>
      <c r="C167" s="45" t="s">
        <v>255</v>
      </c>
      <c r="D167" s="46">
        <v>160000</v>
      </c>
      <c r="E167" s="46">
        <v>160000</v>
      </c>
    </row>
    <row r="168" spans="1:5" x14ac:dyDescent="0.25">
      <c r="A168" s="6"/>
      <c r="B168" s="43" t="str">
        <f t="shared" si="2"/>
        <v>690024</v>
      </c>
      <c r="C168" s="45" t="s">
        <v>256</v>
      </c>
      <c r="D168" s="46">
        <v>436310</v>
      </c>
      <c r="E168" s="46">
        <v>436310</v>
      </c>
    </row>
    <row r="169" spans="1:5" x14ac:dyDescent="0.25">
      <c r="A169" s="6"/>
      <c r="B169" s="43" t="str">
        <f t="shared" si="2"/>
        <v>690025</v>
      </c>
      <c r="C169" s="45" t="s">
        <v>257</v>
      </c>
      <c r="D169" s="46">
        <v>29729936</v>
      </c>
      <c r="E169" s="46">
        <v>29729936</v>
      </c>
    </row>
    <row r="170" spans="1:5" x14ac:dyDescent="0.25">
      <c r="A170" s="6" t="s">
        <v>442</v>
      </c>
      <c r="B170" s="43" t="str">
        <f t="shared" si="2"/>
        <v>700001</v>
      </c>
      <c r="C170" s="45" t="s">
        <v>258</v>
      </c>
      <c r="D170" s="46">
        <v>-57613815</v>
      </c>
      <c r="E170" s="46">
        <v>-57613815</v>
      </c>
    </row>
    <row r="171" spans="1:5" x14ac:dyDescent="0.25">
      <c r="A171" s="6" t="s">
        <v>442</v>
      </c>
      <c r="B171" s="43" t="str">
        <f t="shared" si="2"/>
        <v>700002</v>
      </c>
      <c r="C171" s="45" t="s">
        <v>259</v>
      </c>
      <c r="D171" s="46">
        <v>820000</v>
      </c>
      <c r="E171" s="46">
        <v>820000</v>
      </c>
    </row>
    <row r="172" spans="1:5" x14ac:dyDescent="0.25">
      <c r="A172" s="6" t="s">
        <v>443</v>
      </c>
      <c r="B172" s="43" t="str">
        <f t="shared" si="2"/>
        <v>700501</v>
      </c>
      <c r="C172" s="45" t="s">
        <v>260</v>
      </c>
      <c r="D172" s="46">
        <v>-14133918</v>
      </c>
      <c r="E172" s="46">
        <v>-14133918</v>
      </c>
    </row>
    <row r="173" spans="1:5" x14ac:dyDescent="0.25">
      <c r="A173" s="6" t="s">
        <v>444</v>
      </c>
      <c r="B173" s="43" t="str">
        <f t="shared" si="2"/>
        <v>711401</v>
      </c>
      <c r="C173" s="45" t="s">
        <v>261</v>
      </c>
      <c r="D173" s="46">
        <v>-4149565</v>
      </c>
      <c r="E173" s="46">
        <v>-4149565</v>
      </c>
    </row>
    <row r="174" spans="1:5" x14ac:dyDescent="0.25">
      <c r="A174" s="6" t="s">
        <v>445</v>
      </c>
      <c r="B174" s="43" t="str">
        <f t="shared" si="2"/>
        <v>715001</v>
      </c>
      <c r="C174" s="45" t="s">
        <v>262</v>
      </c>
      <c r="D174" s="46">
        <v>-32280622</v>
      </c>
      <c r="E174" s="46">
        <v>-32280622</v>
      </c>
    </row>
    <row r="175" spans="1:5" x14ac:dyDescent="0.25">
      <c r="A175" s="6" t="s">
        <v>445</v>
      </c>
      <c r="B175" s="43" t="str">
        <f t="shared" si="2"/>
        <v>715002</v>
      </c>
      <c r="C175" s="45" t="s">
        <v>263</v>
      </c>
      <c r="D175" s="46">
        <v>400000</v>
      </c>
      <c r="E175" s="46">
        <v>400000</v>
      </c>
    </row>
    <row r="176" spans="1:5" x14ac:dyDescent="0.25">
      <c r="A176" s="6" t="s">
        <v>446</v>
      </c>
      <c r="B176" s="43" t="str">
        <f t="shared" si="2"/>
        <v>716400</v>
      </c>
      <c r="C176" s="45" t="s">
        <v>264</v>
      </c>
      <c r="D176" s="46">
        <v>-1127376</v>
      </c>
      <c r="E176" s="46">
        <v>-1127376</v>
      </c>
    </row>
    <row r="177" spans="1:5" x14ac:dyDescent="0.25">
      <c r="A177" s="6" t="s">
        <v>447</v>
      </c>
      <c r="B177" s="43" t="str">
        <f t="shared" si="2"/>
        <v>721001</v>
      </c>
      <c r="C177" s="45" t="s">
        <v>265</v>
      </c>
      <c r="D177" s="46">
        <v>-1200000</v>
      </c>
      <c r="E177" s="46">
        <v>-1200000</v>
      </c>
    </row>
    <row r="178" spans="1:5" x14ac:dyDescent="0.25">
      <c r="A178" s="6" t="s">
        <v>448</v>
      </c>
      <c r="B178" s="43" t="str">
        <f t="shared" si="2"/>
        <v>725001</v>
      </c>
      <c r="C178" s="45" t="s">
        <v>266</v>
      </c>
      <c r="D178" s="46">
        <v>-291000</v>
      </c>
      <c r="E178" s="46">
        <v>-291000</v>
      </c>
    </row>
    <row r="179" spans="1:5" x14ac:dyDescent="0.25">
      <c r="A179" s="6" t="s">
        <v>448</v>
      </c>
      <c r="B179" s="43" t="str">
        <f t="shared" si="2"/>
        <v>725002</v>
      </c>
      <c r="C179" s="45" t="s">
        <v>267</v>
      </c>
      <c r="D179" s="46">
        <v>-141957</v>
      </c>
      <c r="E179" s="46">
        <v>-141957</v>
      </c>
    </row>
    <row r="180" spans="1:5" x14ac:dyDescent="0.25">
      <c r="A180" s="6" t="s">
        <v>448</v>
      </c>
      <c r="B180" s="43" t="str">
        <f t="shared" si="2"/>
        <v>725003</v>
      </c>
      <c r="C180" s="45" t="s">
        <v>268</v>
      </c>
      <c r="D180" s="46">
        <v>-40337</v>
      </c>
      <c r="E180" s="46">
        <v>-40337</v>
      </c>
    </row>
    <row r="181" spans="1:5" x14ac:dyDescent="0.25">
      <c r="A181" s="6" t="s">
        <v>448</v>
      </c>
      <c r="B181" s="43" t="str">
        <f t="shared" si="2"/>
        <v>725004</v>
      </c>
      <c r="C181" s="45" t="s">
        <v>269</v>
      </c>
      <c r="D181" s="46">
        <v>-166870</v>
      </c>
      <c r="E181" s="46">
        <v>-166870</v>
      </c>
    </row>
    <row r="182" spans="1:5" x14ac:dyDescent="0.25">
      <c r="A182" s="6" t="s">
        <v>448</v>
      </c>
      <c r="B182" s="43" t="str">
        <f t="shared" si="2"/>
        <v>725005</v>
      </c>
      <c r="C182" s="45" t="s">
        <v>270</v>
      </c>
      <c r="D182" s="46">
        <v>-48705</v>
      </c>
      <c r="E182" s="46">
        <v>-48705</v>
      </c>
    </row>
    <row r="183" spans="1:5" x14ac:dyDescent="0.25">
      <c r="A183" s="6" t="s">
        <v>448</v>
      </c>
      <c r="B183" s="43" t="str">
        <f t="shared" si="2"/>
        <v>725007</v>
      </c>
      <c r="C183" s="45" t="s">
        <v>271</v>
      </c>
      <c r="D183" s="46">
        <v>-45722</v>
      </c>
      <c r="E183" s="46">
        <v>-45722</v>
      </c>
    </row>
    <row r="184" spans="1:5" x14ac:dyDescent="0.25">
      <c r="A184" s="6" t="s">
        <v>448</v>
      </c>
      <c r="B184" s="43" t="str">
        <f t="shared" si="2"/>
        <v>725008</v>
      </c>
      <c r="C184" s="45" t="s">
        <v>272</v>
      </c>
      <c r="D184" s="46">
        <v>-66135</v>
      </c>
      <c r="E184" s="46">
        <v>-66135</v>
      </c>
    </row>
    <row r="185" spans="1:5" x14ac:dyDescent="0.25">
      <c r="A185" s="6" t="s">
        <v>448</v>
      </c>
      <c r="B185" s="43" t="str">
        <f t="shared" si="2"/>
        <v>725009</v>
      </c>
      <c r="C185" s="45" t="s">
        <v>273</v>
      </c>
      <c r="D185" s="46">
        <v>-118900</v>
      </c>
      <c r="E185" s="46">
        <v>-118900</v>
      </c>
    </row>
    <row r="186" spans="1:5" x14ac:dyDescent="0.25">
      <c r="A186" s="6" t="s">
        <v>448</v>
      </c>
      <c r="B186" s="43" t="str">
        <f t="shared" si="2"/>
        <v>725010</v>
      </c>
      <c r="C186" s="45" t="s">
        <v>274</v>
      </c>
      <c r="D186" s="46">
        <v>-1368</v>
      </c>
      <c r="E186" s="46">
        <v>-1368</v>
      </c>
    </row>
    <row r="187" spans="1:5" x14ac:dyDescent="0.25">
      <c r="A187" s="6" t="s">
        <v>448</v>
      </c>
      <c r="B187" s="43" t="str">
        <f t="shared" si="2"/>
        <v>725011</v>
      </c>
      <c r="C187" s="45" t="s">
        <v>275</v>
      </c>
      <c r="D187" s="46">
        <v>-66880</v>
      </c>
      <c r="E187" s="46">
        <v>-66880</v>
      </c>
    </row>
    <row r="188" spans="1:5" x14ac:dyDescent="0.25">
      <c r="A188" s="6" t="s">
        <v>448</v>
      </c>
      <c r="B188" s="43" t="str">
        <f t="shared" si="2"/>
        <v>725012</v>
      </c>
      <c r="C188" s="45" t="s">
        <v>276</v>
      </c>
      <c r="D188" s="46">
        <v>-7422</v>
      </c>
      <c r="E188" s="46">
        <v>-7422</v>
      </c>
    </row>
    <row r="189" spans="1:5" x14ac:dyDescent="0.25">
      <c r="A189" s="6" t="s">
        <v>448</v>
      </c>
      <c r="B189" s="43" t="str">
        <f t="shared" si="2"/>
        <v>725013</v>
      </c>
      <c r="C189" s="45" t="s">
        <v>277</v>
      </c>
      <c r="D189" s="46">
        <v>-15270</v>
      </c>
      <c r="E189" s="46">
        <v>-15270</v>
      </c>
    </row>
    <row r="190" spans="1:5" x14ac:dyDescent="0.25">
      <c r="A190" s="6" t="s">
        <v>448</v>
      </c>
      <c r="B190" s="43" t="str">
        <f t="shared" si="2"/>
        <v>725014</v>
      </c>
      <c r="C190" s="45" t="s">
        <v>278</v>
      </c>
      <c r="D190" s="46">
        <v>-11137</v>
      </c>
      <c r="E190" s="46">
        <v>-11137</v>
      </c>
    </row>
    <row r="191" spans="1:5" x14ac:dyDescent="0.25">
      <c r="A191" s="6" t="s">
        <v>448</v>
      </c>
      <c r="B191" s="43" t="str">
        <f t="shared" si="2"/>
        <v>725015</v>
      </c>
      <c r="C191" s="45" t="s">
        <v>279</v>
      </c>
      <c r="D191" s="46">
        <v>-1701704</v>
      </c>
      <c r="E191" s="46">
        <v>-1701704</v>
      </c>
    </row>
    <row r="192" spans="1:5" x14ac:dyDescent="0.25">
      <c r="A192" s="6" t="s">
        <v>448</v>
      </c>
      <c r="B192" s="43" t="str">
        <f t="shared" si="2"/>
        <v>725016</v>
      </c>
      <c r="C192" s="45" t="s">
        <v>280</v>
      </c>
      <c r="D192" s="46">
        <v>-1701704</v>
      </c>
      <c r="E192" s="46">
        <v>-1701704</v>
      </c>
    </row>
    <row r="193" spans="1:5" x14ac:dyDescent="0.25">
      <c r="A193" s="6" t="s">
        <v>448</v>
      </c>
      <c r="B193" s="43" t="str">
        <f t="shared" si="2"/>
        <v>725017</v>
      </c>
      <c r="C193" s="45" t="s">
        <v>281</v>
      </c>
      <c r="D193" s="46">
        <v>-18114</v>
      </c>
      <c r="E193" s="46">
        <v>-18114</v>
      </c>
    </row>
    <row r="194" spans="1:5" x14ac:dyDescent="0.25">
      <c r="A194" s="6" t="s">
        <v>448</v>
      </c>
      <c r="B194" s="43" t="str">
        <f t="shared" si="2"/>
        <v>725018</v>
      </c>
      <c r="C194" s="45" t="s">
        <v>282</v>
      </c>
      <c r="D194" s="46">
        <v>-263080</v>
      </c>
      <c r="E194" s="46">
        <v>-263080</v>
      </c>
    </row>
    <row r="195" spans="1:5" x14ac:dyDescent="0.25">
      <c r="A195" s="6" t="s">
        <v>448</v>
      </c>
      <c r="B195" s="43" t="str">
        <f t="shared" si="2"/>
        <v>725019</v>
      </c>
      <c r="C195" s="45" t="s">
        <v>283</v>
      </c>
      <c r="D195" s="46">
        <v>-3400</v>
      </c>
      <c r="E195" s="46">
        <v>-3400</v>
      </c>
    </row>
    <row r="196" spans="1:5" x14ac:dyDescent="0.25">
      <c r="A196" s="6" t="s">
        <v>448</v>
      </c>
      <c r="B196" s="43" t="str">
        <f t="shared" si="2"/>
        <v>725020</v>
      </c>
      <c r="C196" s="45" t="s">
        <v>284</v>
      </c>
      <c r="D196" s="46">
        <v>-60600</v>
      </c>
      <c r="E196" s="46">
        <v>-60600</v>
      </c>
    </row>
    <row r="197" spans="1:5" x14ac:dyDescent="0.25">
      <c r="A197" s="6" t="s">
        <v>448</v>
      </c>
      <c r="B197" s="43" t="str">
        <f t="shared" si="2"/>
        <v>725022</v>
      </c>
      <c r="C197" s="45" t="s">
        <v>285</v>
      </c>
      <c r="D197" s="46">
        <v>-12000</v>
      </c>
      <c r="E197" s="46">
        <v>-12000</v>
      </c>
    </row>
    <row r="198" spans="1:5" x14ac:dyDescent="0.25">
      <c r="A198" s="6" t="s">
        <v>448</v>
      </c>
      <c r="B198" s="43" t="str">
        <f t="shared" si="2"/>
        <v>725030</v>
      </c>
      <c r="C198" s="45" t="s">
        <v>286</v>
      </c>
      <c r="D198" s="46">
        <v>-60973</v>
      </c>
      <c r="E198" s="46">
        <v>-60973</v>
      </c>
    </row>
    <row r="199" spans="1:5" x14ac:dyDescent="0.25">
      <c r="A199" s="6" t="s">
        <v>448</v>
      </c>
      <c r="B199" s="43" t="str">
        <f t="shared" ref="B199:B262" si="3">LEFT(C199,6)</f>
        <v>725034</v>
      </c>
      <c r="C199" s="45" t="s">
        <v>287</v>
      </c>
      <c r="D199" s="46">
        <v>-26250</v>
      </c>
      <c r="E199" s="46">
        <v>-26250</v>
      </c>
    </row>
    <row r="200" spans="1:5" x14ac:dyDescent="0.25">
      <c r="A200" s="6" t="s">
        <v>448</v>
      </c>
      <c r="B200" s="43" t="str">
        <f t="shared" si="3"/>
        <v>725035</v>
      </c>
      <c r="C200" s="45" t="s">
        <v>288</v>
      </c>
      <c r="D200" s="46">
        <v>-3651</v>
      </c>
      <c r="E200" s="46">
        <v>-3651</v>
      </c>
    </row>
    <row r="201" spans="1:5" x14ac:dyDescent="0.25">
      <c r="A201" s="6" t="s">
        <v>448</v>
      </c>
      <c r="B201" s="43" t="str">
        <f t="shared" si="3"/>
        <v>725036</v>
      </c>
      <c r="C201" s="45" t="s">
        <v>289</v>
      </c>
      <c r="D201" s="46">
        <v>-3360</v>
      </c>
      <c r="E201" s="46">
        <v>-3360</v>
      </c>
    </row>
    <row r="202" spans="1:5" x14ac:dyDescent="0.25">
      <c r="A202" s="6" t="s">
        <v>448</v>
      </c>
      <c r="B202" s="43" t="str">
        <f t="shared" si="3"/>
        <v>725037</v>
      </c>
      <c r="C202" s="45" t="s">
        <v>290</v>
      </c>
      <c r="D202" s="46">
        <v>-1380</v>
      </c>
      <c r="E202" s="46">
        <v>-1380</v>
      </c>
    </row>
    <row r="203" spans="1:5" x14ac:dyDescent="0.25">
      <c r="A203" s="6" t="s">
        <v>448</v>
      </c>
      <c r="B203" s="43" t="str">
        <f t="shared" si="3"/>
        <v>725039</v>
      </c>
      <c r="C203" s="45" t="s">
        <v>291</v>
      </c>
      <c r="D203" s="46">
        <v>-2298630</v>
      </c>
      <c r="E203" s="46">
        <v>-2298630</v>
      </c>
    </row>
    <row r="204" spans="1:5" x14ac:dyDescent="0.25">
      <c r="A204" s="6" t="s">
        <v>448</v>
      </c>
      <c r="B204" s="43" t="str">
        <f t="shared" si="3"/>
        <v>725040</v>
      </c>
      <c r="C204" s="45" t="s">
        <v>292</v>
      </c>
      <c r="D204" s="46">
        <v>-36534</v>
      </c>
      <c r="E204" s="46">
        <v>-36534</v>
      </c>
    </row>
    <row r="205" spans="1:5" x14ac:dyDescent="0.25">
      <c r="A205" s="6" t="s">
        <v>448</v>
      </c>
      <c r="B205" s="43" t="str">
        <f t="shared" si="3"/>
        <v>725041</v>
      </c>
      <c r="C205" s="45" t="s">
        <v>293</v>
      </c>
      <c r="D205" s="46">
        <v>-97690</v>
      </c>
      <c r="E205" s="46">
        <v>-97690</v>
      </c>
    </row>
    <row r="206" spans="1:5" x14ac:dyDescent="0.25">
      <c r="A206" s="6" t="s">
        <v>448</v>
      </c>
      <c r="B206" s="43" t="str">
        <f t="shared" si="3"/>
        <v>725044</v>
      </c>
      <c r="C206" s="45" t="s">
        <v>294</v>
      </c>
      <c r="D206" s="46">
        <v>-35190</v>
      </c>
      <c r="E206" s="46">
        <v>-35190</v>
      </c>
    </row>
    <row r="207" spans="1:5" x14ac:dyDescent="0.25">
      <c r="A207" s="6" t="s">
        <v>448</v>
      </c>
      <c r="B207" s="43" t="str">
        <f t="shared" si="3"/>
        <v>725046</v>
      </c>
      <c r="C207" s="45" t="s">
        <v>295</v>
      </c>
      <c r="D207" s="46">
        <v>-22227</v>
      </c>
      <c r="E207" s="46">
        <v>-22227</v>
      </c>
    </row>
    <row r="208" spans="1:5" x14ac:dyDescent="0.25">
      <c r="A208" s="6" t="s">
        <v>448</v>
      </c>
      <c r="B208" s="43" t="str">
        <f t="shared" si="3"/>
        <v>725047</v>
      </c>
      <c r="C208" s="45" t="s">
        <v>296</v>
      </c>
      <c r="D208" s="46">
        <v>-29427</v>
      </c>
      <c r="E208" s="46">
        <v>-29427</v>
      </c>
    </row>
    <row r="209" spans="1:5" x14ac:dyDescent="0.25">
      <c r="A209" s="6" t="s">
        <v>449</v>
      </c>
      <c r="B209" s="43" t="str">
        <f t="shared" si="3"/>
        <v>726001</v>
      </c>
      <c r="C209" s="45" t="s">
        <v>297</v>
      </c>
      <c r="D209" s="46">
        <v>-2620931</v>
      </c>
      <c r="E209" s="46">
        <v>-2620931</v>
      </c>
    </row>
    <row r="210" spans="1:5" x14ac:dyDescent="0.25">
      <c r="A210" s="6" t="s">
        <v>449</v>
      </c>
      <c r="B210" s="43" t="str">
        <f t="shared" si="3"/>
        <v>726201</v>
      </c>
      <c r="C210" s="45" t="s">
        <v>298</v>
      </c>
      <c r="D210" s="46">
        <v>-301200</v>
      </c>
      <c r="E210" s="46">
        <v>-301200</v>
      </c>
    </row>
    <row r="211" spans="1:5" x14ac:dyDescent="0.25">
      <c r="A211" s="6" t="s">
        <v>450</v>
      </c>
      <c r="B211" s="43" t="str">
        <f t="shared" si="3"/>
        <v>727101</v>
      </c>
      <c r="C211" s="45" t="s">
        <v>299</v>
      </c>
      <c r="D211" s="46">
        <v>-643135</v>
      </c>
      <c r="E211" s="46">
        <v>-643135</v>
      </c>
    </row>
    <row r="212" spans="1:5" x14ac:dyDescent="0.25">
      <c r="A212" s="6" t="s">
        <v>450</v>
      </c>
      <c r="B212" s="43" t="str">
        <f t="shared" si="3"/>
        <v>727102</v>
      </c>
      <c r="C212" s="45" t="s">
        <v>300</v>
      </c>
      <c r="D212" s="46">
        <v>-400000</v>
      </c>
      <c r="E212" s="46">
        <v>-400000</v>
      </c>
    </row>
    <row r="213" spans="1:5" x14ac:dyDescent="0.25">
      <c r="A213" s="6" t="s">
        <v>450</v>
      </c>
      <c r="B213" s="43" t="str">
        <f t="shared" si="3"/>
        <v>727103</v>
      </c>
      <c r="C213" s="45" t="s">
        <v>301</v>
      </c>
      <c r="D213" s="46">
        <v>-20300</v>
      </c>
      <c r="E213" s="46">
        <v>-20300</v>
      </c>
    </row>
    <row r="214" spans="1:5" x14ac:dyDescent="0.25">
      <c r="A214" s="6" t="s">
        <v>451</v>
      </c>
      <c r="B214" s="43" t="str">
        <f t="shared" si="3"/>
        <v>727104</v>
      </c>
      <c r="C214" s="45" t="s">
        <v>302</v>
      </c>
      <c r="D214" s="46">
        <v>-51600</v>
      </c>
      <c r="E214" s="46">
        <v>-51600</v>
      </c>
    </row>
    <row r="215" spans="1:5" x14ac:dyDescent="0.25">
      <c r="A215" s="6" t="s">
        <v>452</v>
      </c>
      <c r="B215" s="43" t="str">
        <f t="shared" si="3"/>
        <v>727105</v>
      </c>
      <c r="C215" s="45" t="s">
        <v>303</v>
      </c>
      <c r="D215" s="46">
        <v>-2700</v>
      </c>
      <c r="E215" s="46">
        <v>-2700</v>
      </c>
    </row>
    <row r="216" spans="1:5" x14ac:dyDescent="0.25">
      <c r="A216" s="6" t="s">
        <v>453</v>
      </c>
      <c r="B216" s="43" t="str">
        <f t="shared" si="3"/>
        <v>727106</v>
      </c>
      <c r="C216" s="45" t="s">
        <v>304</v>
      </c>
      <c r="D216" s="46">
        <v>-50000</v>
      </c>
      <c r="E216" s="46">
        <v>-50000</v>
      </c>
    </row>
    <row r="217" spans="1:5" x14ac:dyDescent="0.25">
      <c r="A217" s="6" t="s">
        <v>454</v>
      </c>
      <c r="B217" s="43" t="str">
        <f t="shared" si="3"/>
        <v>727107</v>
      </c>
      <c r="C217" s="45" t="s">
        <v>305</v>
      </c>
      <c r="D217" s="46">
        <v>-40000</v>
      </c>
      <c r="E217" s="46">
        <v>-40000</v>
      </c>
    </row>
    <row r="218" spans="1:5" x14ac:dyDescent="0.25">
      <c r="A218" s="6" t="s">
        <v>450</v>
      </c>
      <c r="B218" s="43" t="str">
        <f t="shared" si="3"/>
        <v>727110</v>
      </c>
      <c r="C218" s="45" t="s">
        <v>306</v>
      </c>
      <c r="D218" s="46">
        <v>-175000</v>
      </c>
      <c r="E218" s="46">
        <v>-175000</v>
      </c>
    </row>
    <row r="219" spans="1:5" x14ac:dyDescent="0.25">
      <c r="A219" s="6" t="s">
        <v>450</v>
      </c>
      <c r="B219" s="43" t="str">
        <f t="shared" si="3"/>
        <v>727111</v>
      </c>
      <c r="C219" s="45" t="s">
        <v>307</v>
      </c>
      <c r="D219" s="46">
        <v>-30000</v>
      </c>
      <c r="E219" s="46">
        <v>-30000</v>
      </c>
    </row>
    <row r="220" spans="1:5" x14ac:dyDescent="0.25">
      <c r="A220" s="6" t="s">
        <v>455</v>
      </c>
      <c r="B220" s="43" t="str">
        <f t="shared" si="3"/>
        <v>727204</v>
      </c>
      <c r="C220" s="45" t="s">
        <v>308</v>
      </c>
      <c r="D220" s="46">
        <v>-583380</v>
      </c>
      <c r="E220" s="46">
        <v>-583380</v>
      </c>
    </row>
    <row r="221" spans="1:5" x14ac:dyDescent="0.25">
      <c r="A221" s="6" t="s">
        <v>447</v>
      </c>
      <c r="B221" s="43" t="str">
        <f t="shared" si="3"/>
        <v>728001</v>
      </c>
      <c r="C221" s="45" t="s">
        <v>309</v>
      </c>
      <c r="D221" s="46">
        <v>-20000</v>
      </c>
      <c r="E221" s="46">
        <v>-20000</v>
      </c>
    </row>
    <row r="222" spans="1:5" x14ac:dyDescent="0.25">
      <c r="A222" s="6" t="s">
        <v>456</v>
      </c>
      <c r="B222" s="43" t="str">
        <f t="shared" si="3"/>
        <v>729001</v>
      </c>
      <c r="C222" s="45" t="s">
        <v>310</v>
      </c>
      <c r="D222" s="46">
        <v>-200000</v>
      </c>
      <c r="E222" s="46">
        <v>-200000</v>
      </c>
    </row>
    <row r="223" spans="1:5" x14ac:dyDescent="0.25">
      <c r="A223" s="6" t="s">
        <v>456</v>
      </c>
      <c r="B223" s="43" t="str">
        <f t="shared" si="3"/>
        <v>729002</v>
      </c>
      <c r="C223" s="45" t="s">
        <v>311</v>
      </c>
      <c r="D223" s="46">
        <v>-250000</v>
      </c>
      <c r="E223" s="46">
        <v>-250000</v>
      </c>
    </row>
    <row r="224" spans="1:5" x14ac:dyDescent="0.25">
      <c r="A224" s="6" t="s">
        <v>456</v>
      </c>
      <c r="B224" s="43" t="str">
        <f t="shared" si="3"/>
        <v>729003</v>
      </c>
      <c r="C224" s="45" t="s">
        <v>312</v>
      </c>
      <c r="D224" s="46">
        <v>-80500</v>
      </c>
      <c r="E224" s="46">
        <v>-80500</v>
      </c>
    </row>
    <row r="225" spans="1:5" x14ac:dyDescent="0.25">
      <c r="A225" s="6" t="s">
        <v>456</v>
      </c>
      <c r="B225" s="43" t="str">
        <f t="shared" si="3"/>
        <v>729004</v>
      </c>
      <c r="C225" s="45" t="s">
        <v>313</v>
      </c>
      <c r="D225" s="46">
        <v>-6000</v>
      </c>
      <c r="E225" s="46">
        <v>-6000</v>
      </c>
    </row>
    <row r="226" spans="1:5" x14ac:dyDescent="0.25">
      <c r="A226" s="6" t="s">
        <v>457</v>
      </c>
      <c r="B226" s="43" t="str">
        <f t="shared" si="3"/>
        <v>729005</v>
      </c>
      <c r="C226" s="45" t="s">
        <v>314</v>
      </c>
      <c r="D226" s="46">
        <v>-1310000</v>
      </c>
      <c r="E226" s="46">
        <v>-1310000</v>
      </c>
    </row>
    <row r="227" spans="1:5" x14ac:dyDescent="0.25">
      <c r="A227" s="6" t="s">
        <v>457</v>
      </c>
      <c r="B227" s="43" t="str">
        <f t="shared" si="3"/>
        <v>729006</v>
      </c>
      <c r="C227" s="45" t="s">
        <v>315</v>
      </c>
      <c r="D227" s="46">
        <v>-40000</v>
      </c>
      <c r="E227" s="46">
        <v>-40000</v>
      </c>
    </row>
    <row r="228" spans="1:5" x14ac:dyDescent="0.25">
      <c r="A228" s="6" t="s">
        <v>457</v>
      </c>
      <c r="B228" s="43" t="str">
        <f t="shared" si="3"/>
        <v>729008</v>
      </c>
      <c r="C228" s="45" t="s">
        <v>316</v>
      </c>
      <c r="D228" s="46">
        <v>-65000</v>
      </c>
      <c r="E228" s="46">
        <v>-65000</v>
      </c>
    </row>
    <row r="229" spans="1:5" x14ac:dyDescent="0.25">
      <c r="A229" s="6" t="s">
        <v>456</v>
      </c>
      <c r="B229" s="43" t="str">
        <f t="shared" si="3"/>
        <v>729009</v>
      </c>
      <c r="C229" s="45" t="s">
        <v>317</v>
      </c>
      <c r="D229" s="46">
        <v>-40000</v>
      </c>
      <c r="E229" s="46">
        <v>-40000</v>
      </c>
    </row>
    <row r="230" spans="1:5" x14ac:dyDescent="0.25">
      <c r="A230" s="6" t="s">
        <v>456</v>
      </c>
      <c r="B230" s="43" t="str">
        <f t="shared" si="3"/>
        <v>729010</v>
      </c>
      <c r="C230" s="45" t="s">
        <v>318</v>
      </c>
      <c r="D230" s="46">
        <v>-56000</v>
      </c>
      <c r="E230" s="46">
        <v>-56000</v>
      </c>
    </row>
    <row r="231" spans="1:5" x14ac:dyDescent="0.25">
      <c r="A231" s="6" t="s">
        <v>456</v>
      </c>
      <c r="B231" s="43" t="str">
        <f t="shared" si="3"/>
        <v>729011</v>
      </c>
      <c r="C231" s="45" t="s">
        <v>319</v>
      </c>
      <c r="D231" s="46">
        <v>-100000</v>
      </c>
      <c r="E231" s="46">
        <v>-100000</v>
      </c>
    </row>
    <row r="232" spans="1:5" x14ac:dyDescent="0.25">
      <c r="A232" s="6" t="s">
        <v>456</v>
      </c>
      <c r="B232" s="43" t="str">
        <f t="shared" si="3"/>
        <v>729013</v>
      </c>
      <c r="C232" s="45" t="s">
        <v>320</v>
      </c>
      <c r="D232" s="46">
        <v>-40000</v>
      </c>
      <c r="E232" s="46">
        <v>-40000</v>
      </c>
    </row>
    <row r="233" spans="1:5" x14ac:dyDescent="0.25">
      <c r="A233" s="6" t="s">
        <v>456</v>
      </c>
      <c r="B233" s="43" t="str">
        <f t="shared" si="3"/>
        <v>729014</v>
      </c>
      <c r="C233" s="45" t="s">
        <v>321</v>
      </c>
      <c r="D233" s="46">
        <v>-80000</v>
      </c>
      <c r="E233" s="46">
        <v>-80000</v>
      </c>
    </row>
    <row r="234" spans="1:5" x14ac:dyDescent="0.25">
      <c r="A234" s="6" t="s">
        <v>456</v>
      </c>
      <c r="B234" s="43" t="str">
        <f t="shared" si="3"/>
        <v>729015</v>
      </c>
      <c r="C234" s="45" t="s">
        <v>322</v>
      </c>
      <c r="D234" s="46">
        <v>-250000</v>
      </c>
      <c r="E234" s="46">
        <v>-250000</v>
      </c>
    </row>
    <row r="235" spans="1:5" x14ac:dyDescent="0.25">
      <c r="A235" s="6" t="s">
        <v>458</v>
      </c>
      <c r="B235" s="43" t="str">
        <f t="shared" si="3"/>
        <v>729201</v>
      </c>
      <c r="C235" s="45" t="s">
        <v>323</v>
      </c>
      <c r="D235" s="46">
        <v>-142184</v>
      </c>
      <c r="E235" s="46">
        <v>-142184</v>
      </c>
    </row>
    <row r="236" spans="1:5" x14ac:dyDescent="0.25">
      <c r="A236" s="6" t="s">
        <v>456</v>
      </c>
      <c r="B236" s="43" t="str">
        <f t="shared" si="3"/>
        <v>729202</v>
      </c>
      <c r="C236" s="45" t="s">
        <v>324</v>
      </c>
      <c r="D236" s="46">
        <v>-7000</v>
      </c>
      <c r="E236" s="46">
        <v>-7000</v>
      </c>
    </row>
    <row r="237" spans="1:5" x14ac:dyDescent="0.25">
      <c r="A237" s="6" t="s">
        <v>457</v>
      </c>
      <c r="B237" s="43" t="str">
        <f t="shared" si="3"/>
        <v>729203</v>
      </c>
      <c r="C237" s="45" t="s">
        <v>325</v>
      </c>
      <c r="D237" s="46">
        <v>-20000</v>
      </c>
      <c r="E237" s="46">
        <v>-20000</v>
      </c>
    </row>
    <row r="238" spans="1:5" x14ac:dyDescent="0.25">
      <c r="A238" s="6" t="s">
        <v>457</v>
      </c>
      <c r="B238" s="43" t="str">
        <f t="shared" si="3"/>
        <v>729205</v>
      </c>
      <c r="C238" s="45" t="s">
        <v>326</v>
      </c>
      <c r="D238" s="46">
        <v>-250000</v>
      </c>
      <c r="E238" s="46">
        <v>-250000</v>
      </c>
    </row>
    <row r="239" spans="1:5" x14ac:dyDescent="0.25">
      <c r="A239" s="6" t="s">
        <v>459</v>
      </c>
      <c r="B239" s="43" t="str">
        <f t="shared" si="3"/>
        <v>729207</v>
      </c>
      <c r="C239" s="45" t="s">
        <v>327</v>
      </c>
      <c r="D239" s="46">
        <v>-645000</v>
      </c>
      <c r="E239" s="46">
        <v>-645000</v>
      </c>
    </row>
    <row r="240" spans="1:5" x14ac:dyDescent="0.25">
      <c r="A240" s="6" t="s">
        <v>460</v>
      </c>
      <c r="B240" s="43" t="str">
        <f t="shared" si="3"/>
        <v>729208</v>
      </c>
      <c r="C240" s="45" t="s">
        <v>328</v>
      </c>
      <c r="D240" s="46">
        <v>-350000</v>
      </c>
      <c r="E240" s="46">
        <v>-350000</v>
      </c>
    </row>
    <row r="241" spans="1:5" x14ac:dyDescent="0.25">
      <c r="A241" s="6" t="s">
        <v>461</v>
      </c>
      <c r="B241" s="43" t="str">
        <f t="shared" si="3"/>
        <v>729210</v>
      </c>
      <c r="C241" s="45" t="s">
        <v>329</v>
      </c>
      <c r="D241" s="46">
        <v>-53000</v>
      </c>
      <c r="E241" s="46">
        <v>-53000</v>
      </c>
    </row>
    <row r="242" spans="1:5" x14ac:dyDescent="0.25">
      <c r="A242" s="6" t="s">
        <v>456</v>
      </c>
      <c r="B242" s="43" t="str">
        <f t="shared" si="3"/>
        <v>729213</v>
      </c>
      <c r="C242" s="45" t="s">
        <v>330</v>
      </c>
      <c r="D242" s="46">
        <v>-147500</v>
      </c>
      <c r="E242" s="46">
        <v>-147500</v>
      </c>
    </row>
    <row r="243" spans="1:5" x14ac:dyDescent="0.25">
      <c r="A243" s="6" t="s">
        <v>462</v>
      </c>
      <c r="B243" s="43" t="str">
        <f t="shared" si="3"/>
        <v>729216</v>
      </c>
      <c r="C243" s="45" t="s">
        <v>331</v>
      </c>
      <c r="D243" s="46">
        <v>-560000</v>
      </c>
      <c r="E243" s="46">
        <v>-560000</v>
      </c>
    </row>
    <row r="244" spans="1:5" x14ac:dyDescent="0.25">
      <c r="A244" s="6" t="s">
        <v>463</v>
      </c>
      <c r="B244" s="43" t="str">
        <f t="shared" si="3"/>
        <v>729217</v>
      </c>
      <c r="C244" s="45" t="s">
        <v>332</v>
      </c>
      <c r="D244" s="46">
        <v>-112136</v>
      </c>
      <c r="E244" s="46">
        <v>-112136</v>
      </c>
    </row>
    <row r="245" spans="1:5" x14ac:dyDescent="0.25">
      <c r="A245" s="6" t="s">
        <v>464</v>
      </c>
      <c r="B245" s="43" t="str">
        <f t="shared" si="3"/>
        <v>729218</v>
      </c>
      <c r="C245" s="45" t="s">
        <v>333</v>
      </c>
      <c r="D245" s="46">
        <v>-100000</v>
      </c>
      <c r="E245" s="46">
        <v>-100000</v>
      </c>
    </row>
    <row r="246" spans="1:5" x14ac:dyDescent="0.25">
      <c r="A246" s="6" t="s">
        <v>465</v>
      </c>
      <c r="B246" s="43" t="str">
        <f t="shared" si="3"/>
        <v>729219</v>
      </c>
      <c r="C246" s="45" t="s">
        <v>334</v>
      </c>
      <c r="D246" s="46">
        <v>-150000</v>
      </c>
      <c r="E246" s="46">
        <v>-150000</v>
      </c>
    </row>
    <row r="247" spans="1:5" x14ac:dyDescent="0.25">
      <c r="A247" s="6" t="s">
        <v>457</v>
      </c>
      <c r="B247" s="43" t="str">
        <f t="shared" si="3"/>
        <v>729221</v>
      </c>
      <c r="C247" s="45" t="s">
        <v>335</v>
      </c>
      <c r="D247" s="46">
        <v>-15000</v>
      </c>
      <c r="E247" s="46">
        <v>-15000</v>
      </c>
    </row>
    <row r="248" spans="1:5" x14ac:dyDescent="0.25">
      <c r="A248" s="48" t="s">
        <v>457</v>
      </c>
      <c r="B248" s="43" t="str">
        <f t="shared" si="3"/>
        <v>729222</v>
      </c>
      <c r="C248" s="45" t="s">
        <v>336</v>
      </c>
      <c r="D248" s="46">
        <v>-35000</v>
      </c>
      <c r="E248" s="46">
        <v>-35000</v>
      </c>
    </row>
    <row r="249" spans="1:5" x14ac:dyDescent="0.25">
      <c r="A249" s="6" t="s">
        <v>451</v>
      </c>
      <c r="B249" s="43" t="str">
        <f t="shared" si="3"/>
        <v>729225</v>
      </c>
      <c r="C249" s="45" t="s">
        <v>337</v>
      </c>
      <c r="D249" s="46">
        <v>-2565</v>
      </c>
      <c r="E249" s="46">
        <v>-2565</v>
      </c>
    </row>
    <row r="250" spans="1:5" x14ac:dyDescent="0.25">
      <c r="A250" s="6" t="s">
        <v>457</v>
      </c>
      <c r="B250" s="43" t="str">
        <f t="shared" si="3"/>
        <v>729228</v>
      </c>
      <c r="C250" s="45" t="s">
        <v>338</v>
      </c>
      <c r="D250" s="46">
        <v>-600000</v>
      </c>
      <c r="E250" s="46">
        <v>-600000</v>
      </c>
    </row>
    <row r="251" spans="1:5" x14ac:dyDescent="0.25">
      <c r="A251" s="6" t="s">
        <v>466</v>
      </c>
      <c r="B251" s="43" t="str">
        <f t="shared" si="3"/>
        <v>729231</v>
      </c>
      <c r="C251" s="45" t="s">
        <v>339</v>
      </c>
      <c r="D251" s="46">
        <v>-35000</v>
      </c>
      <c r="E251" s="46">
        <v>-35000</v>
      </c>
    </row>
    <row r="252" spans="1:5" x14ac:dyDescent="0.25">
      <c r="A252" s="6" t="s">
        <v>466</v>
      </c>
      <c r="B252" s="43" t="str">
        <f t="shared" si="3"/>
        <v>729232</v>
      </c>
      <c r="C252" s="45" t="s">
        <v>340</v>
      </c>
      <c r="D252" s="46">
        <v>-1000</v>
      </c>
      <c r="E252" s="46">
        <v>-1000</v>
      </c>
    </row>
    <row r="253" spans="1:5" x14ac:dyDescent="0.25">
      <c r="A253" s="6" t="s">
        <v>467</v>
      </c>
      <c r="B253" s="43" t="str">
        <f t="shared" si="3"/>
        <v>729235</v>
      </c>
      <c r="C253" s="45" t="s">
        <v>341</v>
      </c>
      <c r="D253" s="46">
        <v>-335748</v>
      </c>
      <c r="E253" s="46">
        <v>-335748</v>
      </c>
    </row>
    <row r="254" spans="1:5" x14ac:dyDescent="0.25">
      <c r="A254" s="6" t="s">
        <v>456</v>
      </c>
      <c r="B254" s="43" t="str">
        <f t="shared" si="3"/>
        <v>729236</v>
      </c>
      <c r="C254" s="45" t="s">
        <v>342</v>
      </c>
      <c r="D254" s="46">
        <v>-5000</v>
      </c>
      <c r="E254" s="46">
        <v>-5000</v>
      </c>
    </row>
    <row r="255" spans="1:5" x14ac:dyDescent="0.25">
      <c r="A255" s="6" t="s">
        <v>456</v>
      </c>
      <c r="B255" s="43" t="str">
        <f t="shared" si="3"/>
        <v>729237</v>
      </c>
      <c r="C255" s="45" t="s">
        <v>343</v>
      </c>
      <c r="D255" s="46">
        <v>-75000</v>
      </c>
      <c r="E255" s="46">
        <v>-75000</v>
      </c>
    </row>
    <row r="256" spans="1:5" x14ac:dyDescent="0.25">
      <c r="A256" s="6" t="s">
        <v>452</v>
      </c>
      <c r="B256" s="43" t="str">
        <f t="shared" si="3"/>
        <v>729299</v>
      </c>
      <c r="C256" s="45" t="s">
        <v>344</v>
      </c>
      <c r="D256" s="46">
        <v>-127000</v>
      </c>
      <c r="E256" s="46">
        <v>-127000</v>
      </c>
    </row>
    <row r="257" spans="1:5" x14ac:dyDescent="0.25">
      <c r="A257" s="6" t="s">
        <v>466</v>
      </c>
      <c r="B257" s="43" t="str">
        <f t="shared" si="3"/>
        <v>729300</v>
      </c>
      <c r="C257" s="45" t="s">
        <v>345</v>
      </c>
      <c r="D257" s="46">
        <v>-3500</v>
      </c>
      <c r="E257" s="46">
        <v>-3500</v>
      </c>
    </row>
    <row r="258" spans="1:5" x14ac:dyDescent="0.25">
      <c r="A258" s="6" t="s">
        <v>468</v>
      </c>
      <c r="B258" s="43" t="str">
        <f t="shared" si="3"/>
        <v>730102</v>
      </c>
      <c r="C258" s="45" t="s">
        <v>346</v>
      </c>
      <c r="D258" s="46">
        <v>-149000</v>
      </c>
      <c r="E258" s="46">
        <v>-149000</v>
      </c>
    </row>
    <row r="259" spans="1:5" x14ac:dyDescent="0.25">
      <c r="A259" s="6" t="s">
        <v>469</v>
      </c>
      <c r="B259" s="43" t="str">
        <f t="shared" si="3"/>
        <v>731001</v>
      </c>
      <c r="C259" s="45" t="s">
        <v>347</v>
      </c>
      <c r="D259" s="46">
        <v>-141648</v>
      </c>
      <c r="E259" s="46">
        <v>-141648</v>
      </c>
    </row>
    <row r="260" spans="1:5" x14ac:dyDescent="0.25">
      <c r="A260" s="6" t="s">
        <v>469</v>
      </c>
      <c r="B260" s="43" t="str">
        <f t="shared" si="3"/>
        <v>732001</v>
      </c>
      <c r="C260" s="45" t="s">
        <v>348</v>
      </c>
      <c r="D260" s="46">
        <v>-1411455</v>
      </c>
      <c r="E260" s="46">
        <v>-1411455</v>
      </c>
    </row>
    <row r="261" spans="1:5" x14ac:dyDescent="0.25">
      <c r="A261" s="6" t="s">
        <v>469</v>
      </c>
      <c r="B261" s="43" t="str">
        <f t="shared" si="3"/>
        <v>732002</v>
      </c>
      <c r="C261" s="45" t="s">
        <v>349</v>
      </c>
      <c r="D261" s="46">
        <v>-75000</v>
      </c>
      <c r="E261" s="46">
        <v>-75000</v>
      </c>
    </row>
    <row r="262" spans="1:5" x14ac:dyDescent="0.25">
      <c r="A262" s="6" t="s">
        <v>469</v>
      </c>
      <c r="B262" s="43" t="str">
        <f t="shared" si="3"/>
        <v>732004</v>
      </c>
      <c r="C262" s="45" t="s">
        <v>350</v>
      </c>
      <c r="D262" s="46">
        <v>-25724</v>
      </c>
      <c r="E262" s="46">
        <v>-25724</v>
      </c>
    </row>
    <row r="263" spans="1:5" x14ac:dyDescent="0.25">
      <c r="A263" s="6" t="s">
        <v>470</v>
      </c>
      <c r="B263" s="43" t="str">
        <f t="shared" ref="B263:B310" si="4">LEFT(C263,6)</f>
        <v>738001</v>
      </c>
      <c r="C263" s="45" t="s">
        <v>351</v>
      </c>
      <c r="D263" s="46">
        <v>-3000</v>
      </c>
      <c r="E263" s="46">
        <v>-3000</v>
      </c>
    </row>
    <row r="264" spans="1:5" x14ac:dyDescent="0.25">
      <c r="A264" s="6" t="s">
        <v>471</v>
      </c>
      <c r="B264" s="43" t="str">
        <f t="shared" si="4"/>
        <v>741001</v>
      </c>
      <c r="C264" s="45" t="s">
        <v>352</v>
      </c>
      <c r="D264" s="46">
        <v>-17000</v>
      </c>
      <c r="E264" s="46">
        <v>-17000</v>
      </c>
    </row>
    <row r="265" spans="1:5" x14ac:dyDescent="0.25">
      <c r="A265" s="6" t="s">
        <v>472</v>
      </c>
      <c r="B265" s="43" t="str">
        <f t="shared" si="4"/>
        <v>741201</v>
      </c>
      <c r="C265" s="45" t="s">
        <v>353</v>
      </c>
      <c r="D265" s="46">
        <v>-4100000</v>
      </c>
      <c r="E265" s="46">
        <v>-4100000</v>
      </c>
    </row>
    <row r="266" spans="1:5" x14ac:dyDescent="0.25">
      <c r="A266" s="6" t="s">
        <v>473</v>
      </c>
      <c r="B266" s="43" t="str">
        <f t="shared" si="4"/>
        <v>741202</v>
      </c>
      <c r="C266" s="45" t="s">
        <v>354</v>
      </c>
      <c r="D266" s="46">
        <v>-46000</v>
      </c>
      <c r="E266" s="46">
        <v>-46000</v>
      </c>
    </row>
    <row r="267" spans="1:5" x14ac:dyDescent="0.25">
      <c r="A267" s="6" t="s">
        <v>473</v>
      </c>
      <c r="B267" s="43" t="str">
        <f t="shared" si="4"/>
        <v>741203</v>
      </c>
      <c r="C267" s="45" t="s">
        <v>355</v>
      </c>
      <c r="D267" s="46">
        <v>-100000</v>
      </c>
      <c r="E267" s="46">
        <v>-100000</v>
      </c>
    </row>
    <row r="268" spans="1:5" x14ac:dyDescent="0.25">
      <c r="A268" s="6" t="s">
        <v>473</v>
      </c>
      <c r="B268" s="43" t="str">
        <f t="shared" si="4"/>
        <v>741206</v>
      </c>
      <c r="C268" s="45" t="s">
        <v>356</v>
      </c>
      <c r="D268" s="46">
        <v>-52000</v>
      </c>
      <c r="E268" s="46">
        <v>-52000</v>
      </c>
    </row>
    <row r="269" spans="1:5" x14ac:dyDescent="0.25">
      <c r="A269" s="6" t="s">
        <v>473</v>
      </c>
      <c r="B269" s="43" t="str">
        <f t="shared" si="4"/>
        <v>741299</v>
      </c>
      <c r="C269" s="45" t="s">
        <v>357</v>
      </c>
      <c r="D269" s="46">
        <v>-110000</v>
      </c>
      <c r="E269" s="46">
        <v>-110000</v>
      </c>
    </row>
    <row r="270" spans="1:5" x14ac:dyDescent="0.25">
      <c r="A270" s="6" t="s">
        <v>474</v>
      </c>
      <c r="B270" s="43" t="str">
        <f t="shared" si="4"/>
        <v>741410</v>
      </c>
      <c r="C270" s="45" t="s">
        <v>358</v>
      </c>
      <c r="D270" s="46">
        <v>-16000</v>
      </c>
      <c r="E270" s="46">
        <v>-16000</v>
      </c>
    </row>
    <row r="271" spans="1:5" x14ac:dyDescent="0.25">
      <c r="A271" s="6" t="s">
        <v>475</v>
      </c>
      <c r="B271" s="43" t="str">
        <f t="shared" si="4"/>
        <v>741604</v>
      </c>
      <c r="C271" s="45" t="s">
        <v>359</v>
      </c>
      <c r="D271" s="46">
        <v>-250000</v>
      </c>
      <c r="E271" s="46">
        <v>-250000</v>
      </c>
    </row>
    <row r="272" spans="1:5" x14ac:dyDescent="0.25">
      <c r="A272" s="6" t="s">
        <v>476</v>
      </c>
      <c r="B272" s="43" t="str">
        <f t="shared" si="4"/>
        <v>741605</v>
      </c>
      <c r="C272" s="45" t="s">
        <v>360</v>
      </c>
      <c r="D272" s="46">
        <v>-20840</v>
      </c>
      <c r="E272" s="46">
        <v>-20840</v>
      </c>
    </row>
    <row r="273" spans="1:5" x14ac:dyDescent="0.25">
      <c r="A273" s="6" t="s">
        <v>477</v>
      </c>
      <c r="B273" s="43" t="str">
        <f t="shared" si="4"/>
        <v>741606</v>
      </c>
      <c r="C273" s="45" t="s">
        <v>361</v>
      </c>
      <c r="D273" s="46">
        <v>-858235</v>
      </c>
      <c r="E273" s="46">
        <v>-858235</v>
      </c>
    </row>
    <row r="274" spans="1:5" x14ac:dyDescent="0.25">
      <c r="A274" s="6" t="s">
        <v>477</v>
      </c>
      <c r="B274" s="43" t="str">
        <f t="shared" si="4"/>
        <v>741607</v>
      </c>
      <c r="C274" s="45" t="s">
        <v>362</v>
      </c>
      <c r="D274" s="46">
        <v>-166369</v>
      </c>
      <c r="E274" s="46">
        <v>-166369</v>
      </c>
    </row>
    <row r="275" spans="1:5" x14ac:dyDescent="0.25">
      <c r="A275" s="6" t="s">
        <v>478</v>
      </c>
      <c r="B275" s="43" t="str">
        <f t="shared" si="4"/>
        <v>741613</v>
      </c>
      <c r="C275" s="45" t="s">
        <v>363</v>
      </c>
      <c r="D275" s="46">
        <v>-180000</v>
      </c>
      <c r="E275" s="46">
        <v>-180000</v>
      </c>
    </row>
    <row r="276" spans="1:5" x14ac:dyDescent="0.25">
      <c r="A276" s="6" t="s">
        <v>479</v>
      </c>
      <c r="B276" s="43" t="str">
        <f t="shared" si="4"/>
        <v>741650</v>
      </c>
      <c r="C276" s="45" t="s">
        <v>364</v>
      </c>
      <c r="D276" s="46">
        <v>-88000</v>
      </c>
      <c r="E276" s="46">
        <v>-88000</v>
      </c>
    </row>
    <row r="277" spans="1:5" x14ac:dyDescent="0.25">
      <c r="A277" s="6" t="s">
        <v>480</v>
      </c>
      <c r="B277" s="43" t="str">
        <f t="shared" si="4"/>
        <v>742001</v>
      </c>
      <c r="C277" s="45" t="s">
        <v>365</v>
      </c>
      <c r="D277" s="46">
        <v>-8000</v>
      </c>
      <c r="E277" s="46">
        <v>-8000</v>
      </c>
    </row>
    <row r="278" spans="1:5" x14ac:dyDescent="0.25">
      <c r="A278" s="6" t="s">
        <v>480</v>
      </c>
      <c r="B278" s="43" t="str">
        <f t="shared" si="4"/>
        <v>742002</v>
      </c>
      <c r="C278" s="45" t="s">
        <v>366</v>
      </c>
      <c r="D278" s="46">
        <v>-40000</v>
      </c>
      <c r="E278" s="46">
        <v>-40000</v>
      </c>
    </row>
    <row r="279" spans="1:5" x14ac:dyDescent="0.25">
      <c r="A279" s="6" t="s">
        <v>481</v>
      </c>
      <c r="B279" s="43" t="str">
        <f t="shared" si="4"/>
        <v>742402</v>
      </c>
      <c r="C279" s="45" t="s">
        <v>367</v>
      </c>
      <c r="D279" s="46">
        <v>-90000</v>
      </c>
      <c r="E279" s="46">
        <v>-90000</v>
      </c>
    </row>
    <row r="280" spans="1:5" x14ac:dyDescent="0.25">
      <c r="A280" s="6" t="s">
        <v>476</v>
      </c>
      <c r="B280" s="43" t="str">
        <f t="shared" si="4"/>
        <v>743201</v>
      </c>
      <c r="C280" s="45" t="s">
        <v>368</v>
      </c>
      <c r="D280" s="46">
        <v>-30750</v>
      </c>
      <c r="E280" s="46">
        <v>-30750</v>
      </c>
    </row>
    <row r="281" spans="1:5" x14ac:dyDescent="0.25">
      <c r="A281" s="6" t="s">
        <v>482</v>
      </c>
      <c r="B281" s="43" t="str">
        <f t="shared" si="4"/>
        <v>750001</v>
      </c>
      <c r="C281" s="45" t="s">
        <v>369</v>
      </c>
      <c r="D281" s="46">
        <v>-2917550</v>
      </c>
      <c r="E281" s="46">
        <v>-2917550</v>
      </c>
    </row>
    <row r="282" spans="1:5" x14ac:dyDescent="0.25">
      <c r="A282" s="6" t="s">
        <v>483</v>
      </c>
      <c r="B282" s="43" t="str">
        <f t="shared" si="4"/>
        <v>750002</v>
      </c>
      <c r="C282" s="45" t="s">
        <v>370</v>
      </c>
      <c r="D282" s="46">
        <v>-914224</v>
      </c>
      <c r="E282" s="46">
        <v>-914224</v>
      </c>
    </row>
    <row r="283" spans="1:5" x14ac:dyDescent="0.25">
      <c r="A283" s="6" t="s">
        <v>484</v>
      </c>
      <c r="B283" s="43" t="str">
        <f t="shared" si="4"/>
        <v>750201</v>
      </c>
      <c r="C283" s="45" t="s">
        <v>371</v>
      </c>
      <c r="D283" s="46">
        <v>-451000</v>
      </c>
      <c r="E283" s="46">
        <v>-451000</v>
      </c>
    </row>
    <row r="284" spans="1:5" x14ac:dyDescent="0.25">
      <c r="A284" s="6" t="s">
        <v>485</v>
      </c>
      <c r="B284" s="43" t="str">
        <f t="shared" si="4"/>
        <v>751001</v>
      </c>
      <c r="C284" s="45" t="s">
        <v>372</v>
      </c>
      <c r="D284" s="46">
        <v>-220000</v>
      </c>
      <c r="E284" s="46">
        <v>-220000</v>
      </c>
    </row>
    <row r="285" spans="1:5" x14ac:dyDescent="0.25">
      <c r="A285" s="48" t="s">
        <v>500</v>
      </c>
      <c r="B285" s="43" t="str">
        <f t="shared" si="4"/>
        <v>751401</v>
      </c>
      <c r="C285" s="45" t="s">
        <v>373</v>
      </c>
      <c r="D285" s="46">
        <v>-374000</v>
      </c>
      <c r="E285" s="46">
        <v>-374000</v>
      </c>
    </row>
    <row r="286" spans="1:5" x14ac:dyDescent="0.25">
      <c r="A286" s="6" t="s">
        <v>486</v>
      </c>
      <c r="B286" s="43" t="str">
        <f t="shared" si="4"/>
        <v>751801</v>
      </c>
      <c r="C286" s="45" t="s">
        <v>374</v>
      </c>
      <c r="D286" s="46">
        <v>-268947</v>
      </c>
      <c r="E286" s="46">
        <v>-268947</v>
      </c>
    </row>
    <row r="287" spans="1:5" x14ac:dyDescent="0.25">
      <c r="A287" s="6" t="s">
        <v>487</v>
      </c>
      <c r="B287" s="43" t="str">
        <f t="shared" si="4"/>
        <v>754602</v>
      </c>
      <c r="C287" s="45" t="s">
        <v>375</v>
      </c>
      <c r="D287" s="46">
        <v>-359014</v>
      </c>
      <c r="E287" s="46">
        <v>-359014</v>
      </c>
    </row>
    <row r="288" spans="1:5" x14ac:dyDescent="0.25">
      <c r="A288" s="6" t="s">
        <v>488</v>
      </c>
      <c r="B288" s="43" t="str">
        <f t="shared" si="4"/>
        <v>754607</v>
      </c>
      <c r="C288" s="45" t="s">
        <v>376</v>
      </c>
      <c r="D288" s="46">
        <v>-250020</v>
      </c>
      <c r="E288" s="46">
        <v>-250020</v>
      </c>
    </row>
    <row r="289" spans="1:5" x14ac:dyDescent="0.25">
      <c r="A289" s="6" t="s">
        <v>489</v>
      </c>
      <c r="B289" s="43" t="str">
        <f t="shared" si="4"/>
        <v>755001</v>
      </c>
      <c r="C289" s="45" t="s">
        <v>377</v>
      </c>
      <c r="D289" s="46">
        <v>-1545495</v>
      </c>
      <c r="E289" s="46">
        <v>-1545495</v>
      </c>
    </row>
    <row r="290" spans="1:5" x14ac:dyDescent="0.25">
      <c r="A290" s="6" t="s">
        <v>490</v>
      </c>
      <c r="B290" s="43" t="str">
        <f t="shared" si="4"/>
        <v>764002</v>
      </c>
      <c r="C290" s="45" t="s">
        <v>378</v>
      </c>
      <c r="D290" s="46">
        <v>-254000</v>
      </c>
      <c r="E290" s="46">
        <v>-254000</v>
      </c>
    </row>
    <row r="291" spans="1:5" x14ac:dyDescent="0.25">
      <c r="A291" s="6" t="s">
        <v>490</v>
      </c>
      <c r="B291" s="43" t="str">
        <f t="shared" si="4"/>
        <v>764004</v>
      </c>
      <c r="C291" s="45" t="s">
        <v>379</v>
      </c>
      <c r="D291" s="46">
        <v>-90000</v>
      </c>
      <c r="E291" s="46">
        <v>-90000</v>
      </c>
    </row>
    <row r="292" spans="1:5" x14ac:dyDescent="0.25">
      <c r="A292" s="6" t="s">
        <v>490</v>
      </c>
      <c r="B292" s="43" t="str">
        <f t="shared" si="4"/>
        <v>764005</v>
      </c>
      <c r="C292" s="45" t="s">
        <v>380</v>
      </c>
      <c r="D292" s="46">
        <v>-58000</v>
      </c>
      <c r="E292" s="46">
        <v>-58000</v>
      </c>
    </row>
    <row r="293" spans="1:5" x14ac:dyDescent="0.25">
      <c r="A293" s="6" t="s">
        <v>491</v>
      </c>
      <c r="B293" s="43" t="str">
        <f t="shared" si="4"/>
        <v>764401</v>
      </c>
      <c r="C293" s="45" t="s">
        <v>381</v>
      </c>
      <c r="D293" s="46">
        <v>-140000</v>
      </c>
      <c r="E293" s="46">
        <v>-140000</v>
      </c>
    </row>
    <row r="294" spans="1:5" x14ac:dyDescent="0.25">
      <c r="A294" s="6" t="s">
        <v>491</v>
      </c>
      <c r="B294" s="43" t="str">
        <f t="shared" si="4"/>
        <v>764402</v>
      </c>
      <c r="C294" s="45" t="s">
        <v>382</v>
      </c>
      <c r="D294" s="46">
        <v>-30000</v>
      </c>
      <c r="E294" s="46">
        <v>-30000</v>
      </c>
    </row>
    <row r="295" spans="1:5" x14ac:dyDescent="0.25">
      <c r="A295" s="6" t="s">
        <v>491</v>
      </c>
      <c r="B295" s="43" t="str">
        <f t="shared" si="4"/>
        <v>764403</v>
      </c>
      <c r="C295" s="45" t="s">
        <v>383</v>
      </c>
      <c r="D295" s="46">
        <v>-55000</v>
      </c>
      <c r="E295" s="46">
        <v>-55000</v>
      </c>
    </row>
    <row r="296" spans="1:5" x14ac:dyDescent="0.25">
      <c r="A296" s="6" t="s">
        <v>492</v>
      </c>
      <c r="B296" s="43" t="str">
        <f t="shared" si="4"/>
        <v>765601</v>
      </c>
      <c r="C296" s="45" t="s">
        <v>384</v>
      </c>
      <c r="D296" s="46">
        <v>-650000</v>
      </c>
      <c r="E296" s="46">
        <v>-650000</v>
      </c>
    </row>
    <row r="297" spans="1:5" x14ac:dyDescent="0.25">
      <c r="A297" s="6" t="s">
        <v>493</v>
      </c>
      <c r="B297" s="43" t="str">
        <f t="shared" si="4"/>
        <v>768401</v>
      </c>
      <c r="C297" s="45" t="s">
        <v>385</v>
      </c>
      <c r="D297" s="46">
        <v>-65000</v>
      </c>
      <c r="E297" s="46">
        <v>-65000</v>
      </c>
    </row>
    <row r="298" spans="1:5" x14ac:dyDescent="0.25">
      <c r="A298" s="6" t="s">
        <v>494</v>
      </c>
      <c r="B298" s="43" t="str">
        <f t="shared" si="4"/>
        <v>772402</v>
      </c>
      <c r="C298" s="45" t="s">
        <v>386</v>
      </c>
      <c r="D298" s="46">
        <v>-2850000</v>
      </c>
      <c r="E298" s="46">
        <v>-2850000</v>
      </c>
    </row>
    <row r="299" spans="1:5" x14ac:dyDescent="0.25">
      <c r="A299" s="6" t="s">
        <v>495</v>
      </c>
      <c r="B299" s="43" t="str">
        <f t="shared" si="4"/>
        <v>774002</v>
      </c>
      <c r="C299" s="45" t="s">
        <v>387</v>
      </c>
      <c r="D299" s="46">
        <v>-246000</v>
      </c>
      <c r="E299" s="46">
        <v>-246000</v>
      </c>
    </row>
    <row r="300" spans="1:5" x14ac:dyDescent="0.25">
      <c r="A300" s="6" t="s">
        <v>496</v>
      </c>
      <c r="B300" s="43" t="str">
        <f t="shared" si="4"/>
        <v>774401</v>
      </c>
      <c r="C300" s="45" t="s">
        <v>388</v>
      </c>
      <c r="D300" s="46">
        <v>-445000</v>
      </c>
      <c r="E300" s="46">
        <v>-445000</v>
      </c>
    </row>
    <row r="301" spans="1:5" x14ac:dyDescent="0.25">
      <c r="A301" s="6" t="s">
        <v>497</v>
      </c>
      <c r="B301" s="43" t="str">
        <f t="shared" si="4"/>
        <v>780001</v>
      </c>
      <c r="C301" s="45" t="s">
        <v>389</v>
      </c>
      <c r="D301" s="46">
        <v>-1320571</v>
      </c>
      <c r="E301" s="46">
        <v>-1320571</v>
      </c>
    </row>
    <row r="302" spans="1:5" x14ac:dyDescent="0.25">
      <c r="A302" s="6"/>
      <c r="B302" s="43" t="str">
        <f t="shared" si="4"/>
        <v>790002</v>
      </c>
      <c r="C302" s="45" t="s">
        <v>390</v>
      </c>
      <c r="D302" s="46">
        <v>-1873095</v>
      </c>
      <c r="E302" s="46">
        <v>-1873095</v>
      </c>
    </row>
    <row r="303" spans="1:5" x14ac:dyDescent="0.25">
      <c r="A303" s="6"/>
      <c r="B303" s="43" t="str">
        <f t="shared" si="4"/>
        <v>790003</v>
      </c>
      <c r="C303" s="45" t="s">
        <v>391</v>
      </c>
      <c r="D303" s="46">
        <v>-2074199</v>
      </c>
      <c r="E303" s="46">
        <v>-2074199</v>
      </c>
    </row>
    <row r="304" spans="1:5" x14ac:dyDescent="0.25">
      <c r="A304" s="6"/>
      <c r="B304" s="43" t="str">
        <f t="shared" si="4"/>
        <v>790004</v>
      </c>
      <c r="C304" s="45" t="s">
        <v>392</v>
      </c>
      <c r="D304" s="46">
        <v>-1294668</v>
      </c>
      <c r="E304" s="46">
        <v>-1294668</v>
      </c>
    </row>
    <row r="305" spans="1:5" x14ac:dyDescent="0.25">
      <c r="A305" s="6"/>
      <c r="B305" s="43" t="str">
        <f t="shared" si="4"/>
        <v>790005</v>
      </c>
      <c r="C305" s="45" t="s">
        <v>393</v>
      </c>
      <c r="D305" s="46">
        <v>-150000</v>
      </c>
      <c r="E305" s="46">
        <v>-150000</v>
      </c>
    </row>
    <row r="306" spans="1:5" x14ac:dyDescent="0.25">
      <c r="A306" s="6"/>
      <c r="B306" s="43" t="str">
        <f t="shared" si="4"/>
        <v>790016</v>
      </c>
      <c r="C306" s="45" t="s">
        <v>394</v>
      </c>
      <c r="D306" s="46">
        <v>-732392</v>
      </c>
      <c r="E306" s="46">
        <v>-732392</v>
      </c>
    </row>
    <row r="307" spans="1:5" x14ac:dyDescent="0.25">
      <c r="A307" s="6"/>
      <c r="B307" s="43" t="str">
        <f t="shared" si="4"/>
        <v>790023</v>
      </c>
      <c r="C307" s="45" t="s">
        <v>395</v>
      </c>
      <c r="D307" s="46">
        <v>-160000</v>
      </c>
      <c r="E307" s="46">
        <v>-160000</v>
      </c>
    </row>
    <row r="308" spans="1:5" x14ac:dyDescent="0.25">
      <c r="A308" s="6"/>
      <c r="B308" s="43" t="str">
        <f t="shared" si="4"/>
        <v>790024</v>
      </c>
      <c r="C308" s="45" t="s">
        <v>396</v>
      </c>
      <c r="D308" s="46">
        <v>-436310</v>
      </c>
      <c r="E308" s="46">
        <v>-436310</v>
      </c>
    </row>
    <row r="309" spans="1:5" x14ac:dyDescent="0.25">
      <c r="A309" s="6"/>
      <c r="B309" s="43" t="str">
        <f t="shared" si="4"/>
        <v>790025</v>
      </c>
      <c r="C309" s="45" t="s">
        <v>397</v>
      </c>
      <c r="D309" s="46">
        <v>-29729936</v>
      </c>
      <c r="E309" s="46">
        <v>-29729936</v>
      </c>
    </row>
    <row r="310" spans="1:5" x14ac:dyDescent="0.25">
      <c r="A310" s="6"/>
      <c r="B310" s="43" t="str">
        <f t="shared" si="4"/>
        <v>999999</v>
      </c>
      <c r="C310" s="45" t="s">
        <v>398</v>
      </c>
      <c r="D310" s="46">
        <v>12287</v>
      </c>
      <c r="E310" s="46">
        <v>12287</v>
      </c>
    </row>
    <row r="311" spans="1:5" x14ac:dyDescent="0.25">
      <c r="A311" s="6"/>
      <c r="B311" s="43"/>
      <c r="C311" s="45"/>
      <c r="D311" s="46"/>
      <c r="E311" s="46"/>
    </row>
    <row r="312" spans="1:5" x14ac:dyDescent="0.25">
      <c r="A312" s="6"/>
      <c r="B312" s="43"/>
      <c r="C312" s="45"/>
      <c r="D312" s="46"/>
      <c r="E312" s="46"/>
    </row>
    <row r="313" spans="1:5" x14ac:dyDescent="0.25">
      <c r="A313" s="6"/>
      <c r="B313" s="43"/>
      <c r="C313" s="45"/>
      <c r="D313" s="46"/>
      <c r="E313" s="46"/>
    </row>
    <row r="314" spans="1:5" x14ac:dyDescent="0.25">
      <c r="A314" s="47"/>
      <c r="B314" s="43"/>
      <c r="C314" s="45"/>
      <c r="D314" s="46"/>
      <c r="E314" s="46"/>
    </row>
    <row r="315" spans="1:5" x14ac:dyDescent="0.25">
      <c r="A315" s="6"/>
      <c r="B315" s="43"/>
      <c r="C315" s="45"/>
      <c r="D315" s="46"/>
      <c r="E315" s="46"/>
    </row>
    <row r="316" spans="1:5" x14ac:dyDescent="0.25">
      <c r="A316" s="6"/>
      <c r="B316" s="43"/>
      <c r="C316" s="45"/>
      <c r="D316" s="46"/>
      <c r="E316" s="46"/>
    </row>
    <row r="317" spans="1:5" x14ac:dyDescent="0.25">
      <c r="A317" s="6"/>
      <c r="B317" s="43"/>
      <c r="C317" s="45"/>
      <c r="D317" s="46"/>
      <c r="E317" s="46"/>
    </row>
    <row r="318" spans="1:5" x14ac:dyDescent="0.25">
      <c r="A318" s="6"/>
      <c r="B318" s="43"/>
      <c r="C318" s="45"/>
      <c r="D318" s="46"/>
      <c r="E318" s="46"/>
    </row>
    <row r="319" spans="1:5" x14ac:dyDescent="0.25">
      <c r="A319" s="6"/>
      <c r="B319" s="43"/>
      <c r="C319" s="45"/>
      <c r="D319" s="46"/>
      <c r="E319" s="46"/>
    </row>
    <row r="320" spans="1:5" x14ac:dyDescent="0.25">
      <c r="A320" s="6"/>
      <c r="B320" s="43"/>
      <c r="C320" s="45"/>
      <c r="D320" s="46"/>
      <c r="E320" s="46"/>
    </row>
    <row r="321" spans="1:5" x14ac:dyDescent="0.25">
      <c r="A321" s="6"/>
      <c r="B321" s="43"/>
      <c r="C321" s="45"/>
      <c r="D321" s="46"/>
      <c r="E321" s="46"/>
    </row>
    <row r="322" spans="1:5" x14ac:dyDescent="0.25">
      <c r="A322" s="6"/>
      <c r="B322" s="43"/>
      <c r="C322" s="45"/>
      <c r="D322" s="46"/>
      <c r="E322" s="46"/>
    </row>
    <row r="323" spans="1:5" x14ac:dyDescent="0.25">
      <c r="A323" s="6"/>
      <c r="B323" s="43"/>
      <c r="C323" s="45"/>
      <c r="D323" s="46"/>
      <c r="E323" s="46"/>
    </row>
    <row r="324" spans="1:5" x14ac:dyDescent="0.25">
      <c r="A324" s="6"/>
      <c r="B324" s="43"/>
      <c r="C324" s="45"/>
      <c r="D324" s="46"/>
      <c r="E324" s="46"/>
    </row>
    <row r="325" spans="1:5" x14ac:dyDescent="0.25">
      <c r="A325" s="6"/>
      <c r="B325" s="43"/>
      <c r="C325" s="45"/>
      <c r="D325" s="46"/>
      <c r="E325" s="46"/>
    </row>
    <row r="326" spans="1:5" x14ac:dyDescent="0.25">
      <c r="A326" s="6"/>
      <c r="B326" s="43"/>
      <c r="C326" s="45"/>
      <c r="D326" s="46"/>
      <c r="E326" s="46"/>
    </row>
    <row r="327" spans="1:5" x14ac:dyDescent="0.25">
      <c r="A327" s="6"/>
      <c r="B327" s="43"/>
      <c r="C327" s="45"/>
      <c r="D327" s="46"/>
      <c r="E327" s="46"/>
    </row>
    <row r="328" spans="1:5" x14ac:dyDescent="0.25">
      <c r="A328" s="6"/>
      <c r="B328" s="43"/>
      <c r="C328" s="45"/>
      <c r="D328" s="46"/>
      <c r="E328" s="46"/>
    </row>
    <row r="329" spans="1:5" x14ac:dyDescent="0.25">
      <c r="A329" s="6"/>
      <c r="B329" s="43"/>
      <c r="C329" s="45"/>
      <c r="D329" s="46"/>
      <c r="E329" s="46"/>
    </row>
    <row r="330" spans="1:5" x14ac:dyDescent="0.25">
      <c r="A330" s="6"/>
      <c r="B330" s="43"/>
      <c r="C330" s="45"/>
      <c r="D330" s="46"/>
      <c r="E330" s="46"/>
    </row>
  </sheetData>
  <autoFilter ref="A5:E310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7"/>
  <sheetViews>
    <sheetView zoomScale="120" zoomScaleNormal="120" workbookViewId="0">
      <selection activeCell="C14" sqref="C14:L14"/>
    </sheetView>
  </sheetViews>
  <sheetFormatPr defaultColWidth="9.140625" defaultRowHeight="12.75" x14ac:dyDescent="0.2"/>
  <cols>
    <col min="1" max="1" width="46.28515625" style="6" customWidth="1"/>
    <col min="2" max="12" width="13.28515625" style="6" bestFit="1" customWidth="1"/>
    <col min="13" max="16384" width="9.140625" style="6"/>
  </cols>
  <sheetData>
    <row r="1" spans="1:12" ht="21" customHeight="1" x14ac:dyDescent="0.25">
      <c r="A1" s="2" t="str">
        <f>MODEL_NAME</f>
        <v>Long Term Financial Plan 2018-28</v>
      </c>
    </row>
    <row r="2" spans="1:12" ht="15" customHeight="1" x14ac:dyDescent="0.25">
      <c r="A2" s="1"/>
    </row>
    <row r="3" spans="1:12" ht="15" customHeight="1" x14ac:dyDescent="0.2"/>
    <row r="4" spans="1:12" ht="15" customHeight="1" x14ac:dyDescent="0.2">
      <c r="B4" s="7" t="s">
        <v>7</v>
      </c>
      <c r="C4" s="119" t="s">
        <v>8</v>
      </c>
      <c r="D4" s="119" t="s">
        <v>9</v>
      </c>
      <c r="E4" s="119" t="s">
        <v>10</v>
      </c>
      <c r="F4" s="119" t="s">
        <v>11</v>
      </c>
      <c r="G4" s="119" t="s">
        <v>12</v>
      </c>
      <c r="H4" s="119" t="s">
        <v>13</v>
      </c>
      <c r="I4" s="119" t="s">
        <v>14</v>
      </c>
      <c r="J4" s="119" t="s">
        <v>15</v>
      </c>
      <c r="K4" s="119" t="s">
        <v>16</v>
      </c>
      <c r="L4" s="119" t="s">
        <v>17</v>
      </c>
    </row>
    <row r="5" spans="1:12" ht="15" customHeight="1" x14ac:dyDescent="0.2">
      <c r="B5" s="7">
        <f>BASE_YR</f>
        <v>2018</v>
      </c>
      <c r="C5" s="119">
        <f>B5+1</f>
        <v>2019</v>
      </c>
      <c r="D5" s="119">
        <f t="shared" ref="D5:L5" si="0">C5+1</f>
        <v>2020</v>
      </c>
      <c r="E5" s="119">
        <f t="shared" si="0"/>
        <v>2021</v>
      </c>
      <c r="F5" s="119">
        <f t="shared" si="0"/>
        <v>2022</v>
      </c>
      <c r="G5" s="119">
        <f t="shared" si="0"/>
        <v>2023</v>
      </c>
      <c r="H5" s="119">
        <f t="shared" si="0"/>
        <v>2024</v>
      </c>
      <c r="I5" s="119">
        <f t="shared" si="0"/>
        <v>2025</v>
      </c>
      <c r="J5" s="119">
        <f t="shared" si="0"/>
        <v>2026</v>
      </c>
      <c r="K5" s="119">
        <f t="shared" si="0"/>
        <v>2027</v>
      </c>
      <c r="L5" s="119">
        <f t="shared" si="0"/>
        <v>2028</v>
      </c>
    </row>
    <row r="6" spans="1:12" ht="15" customHeight="1" x14ac:dyDescent="0.2">
      <c r="A6" s="3" t="s">
        <v>1147</v>
      </c>
    </row>
    <row r="7" spans="1:12" ht="15" customHeight="1" x14ac:dyDescent="0.2">
      <c r="A7" s="98" t="s">
        <v>1148</v>
      </c>
      <c r="B7" s="51">
        <f>[13]LTFP!$C$4</f>
        <v>34789573.8636145</v>
      </c>
      <c r="C7" s="51">
        <f>B7*(1+Assumptions!C36+Assumptions!C38-0.0001)</f>
        <v>36200949.880235262</v>
      </c>
      <c r="D7" s="51">
        <f>C7*(1+Assumptions!D36+Assumptions!D38-0.0001)</f>
        <v>37669583.921001464</v>
      </c>
      <c r="E7" s="51">
        <f>D7*(1+Assumptions!E36+Assumptions!E38-0.0001)</f>
        <v>39197798.883064836</v>
      </c>
      <c r="F7" s="51">
        <f>E7*(1+Assumptions!F36+Assumptions!F38-0.0001)</f>
        <v>40788011.901044413</v>
      </c>
      <c r="G7" s="51">
        <f>F7*(1+Assumptions!G36+Assumptions!G38-0.0001)</f>
        <v>42442738.170140348</v>
      </c>
      <c r="H7" s="51">
        <f>G7*(1+Assumptions!H36+Assumptions!H38-0.0001)</f>
        <v>44164594.924347423</v>
      </c>
      <c r="I7" s="51">
        <f>H7*(1+Assumptions!I36+Assumptions!I38-0.0001)</f>
        <v>45956305.576060444</v>
      </c>
      <c r="J7" s="51">
        <f>I7*(1+Assumptions!J36+Assumptions!J38-0.0001)</f>
        <v>47820704.023619004</v>
      </c>
      <c r="K7" s="51">
        <f>J7*(1+Assumptions!K36+Assumptions!K38-0.0001)</f>
        <v>49760739.133604787</v>
      </c>
      <c r="L7" s="51">
        <f>K7*(1+Assumptions!L36+Assumptions!L38-0.0001)</f>
        <v>51779479.40498089</v>
      </c>
    </row>
    <row r="8" spans="1:12" ht="15" customHeight="1" x14ac:dyDescent="0.2">
      <c r="A8" s="98" t="s">
        <v>1149</v>
      </c>
      <c r="B8" s="51">
        <f>[13]LTFP!$C$5</f>
        <v>5466862.7779563442</v>
      </c>
      <c r="C8" s="51">
        <f>B8*(1+Assumptions!C44)</f>
        <v>5603534.347405252</v>
      </c>
      <c r="D8" s="51">
        <f>C8*(1+Assumptions!D44)</f>
        <v>5743622.7060903832</v>
      </c>
      <c r="E8" s="51">
        <f>D8*(1+Assumptions!E44)</f>
        <v>5887213.2737426423</v>
      </c>
      <c r="F8" s="51">
        <f>E8*(1+Assumptions!F44)</f>
        <v>6034393.6055862075</v>
      </c>
      <c r="G8" s="51">
        <f>F8*(1+Assumptions!G44)</f>
        <v>6185253.4457258619</v>
      </c>
      <c r="H8" s="51">
        <f>G8*(1+Assumptions!H44)</f>
        <v>6339884.7818690082</v>
      </c>
      <c r="I8" s="51">
        <f>H8*(1+Assumptions!I44)</f>
        <v>6498381.9014157327</v>
      </c>
      <c r="J8" s="51">
        <f>I8*(1+Assumptions!J44)</f>
        <v>6660841.4489511251</v>
      </c>
      <c r="K8" s="51">
        <f>J8*(1+Assumptions!K44)</f>
        <v>6827362.4851749027</v>
      </c>
      <c r="L8" s="51">
        <f>K8*(1+Assumptions!L44)</f>
        <v>6998046.5473042745</v>
      </c>
    </row>
    <row r="9" spans="1:12" ht="15" customHeight="1" x14ac:dyDescent="0.2">
      <c r="A9" s="98" t="s">
        <v>1150</v>
      </c>
      <c r="B9" s="58">
        <f>[13]LTFP!$C$6</f>
        <v>4548126.7417604569</v>
      </c>
      <c r="C9" s="58">
        <f>B9*(1+Assumptions!C40)</f>
        <v>4661829.9103044681</v>
      </c>
      <c r="D9" s="58">
        <f>C9*(1+Assumptions!D40)</f>
        <v>4778375.658062079</v>
      </c>
      <c r="E9" s="58">
        <f>D9*(1+Assumptions!E40)</f>
        <v>4897835.0495136306</v>
      </c>
      <c r="F9" s="58">
        <f>E9*(1+Assumptions!F40)</f>
        <v>5020280.925751471</v>
      </c>
      <c r="G9" s="58">
        <f>F9*(1+Assumptions!G40)</f>
        <v>5145787.948895257</v>
      </c>
      <c r="H9" s="58">
        <f>G9*(1+Assumptions!H40)</f>
        <v>5274432.6476176381</v>
      </c>
      <c r="I9" s="58">
        <f>H9*(1+Assumptions!I40)</f>
        <v>5406293.4638080783</v>
      </c>
      <c r="J9" s="58">
        <f>I9*(1+Assumptions!J40)</f>
        <v>5541450.8004032802</v>
      </c>
      <c r="K9" s="58">
        <f>J9*(1+Assumptions!K40)</f>
        <v>5679987.0704133613</v>
      </c>
      <c r="L9" s="58">
        <f>K9*(1+Assumptions!L40)</f>
        <v>5821986.7471736949</v>
      </c>
    </row>
    <row r="10" spans="1:12" ht="15" customHeight="1" x14ac:dyDescent="0.2">
      <c r="A10" s="3" t="s">
        <v>1151</v>
      </c>
      <c r="B10" s="66">
        <f>SUM(B7:B9)</f>
        <v>44804563.383331299</v>
      </c>
      <c r="C10" s="66">
        <f t="shared" ref="C10:L10" si="1">SUM(C7:C9)</f>
        <v>46466314.137944981</v>
      </c>
      <c r="D10" s="66">
        <f t="shared" si="1"/>
        <v>48191582.285153925</v>
      </c>
      <c r="E10" s="66">
        <f t="shared" si="1"/>
        <v>49982847.206321113</v>
      </c>
      <c r="F10" s="66">
        <f t="shared" si="1"/>
        <v>51842686.432382092</v>
      </c>
      <c r="G10" s="66">
        <f t="shared" si="1"/>
        <v>53773779.564761475</v>
      </c>
      <c r="H10" s="66">
        <f t="shared" si="1"/>
        <v>55778912.35383407</v>
      </c>
      <c r="I10" s="66">
        <f t="shared" si="1"/>
        <v>57860980.941284254</v>
      </c>
      <c r="J10" s="66">
        <f t="shared" si="1"/>
        <v>60022996.272973411</v>
      </c>
      <c r="K10" s="66">
        <f t="shared" si="1"/>
        <v>62268088.689193048</v>
      </c>
      <c r="L10" s="66">
        <f t="shared" si="1"/>
        <v>64599512.69945886</v>
      </c>
    </row>
    <row r="11" spans="1:12" ht="15" customHeight="1" x14ac:dyDescent="0.2">
      <c r="B11" s="150">
        <f>B10-TB!D33</f>
        <v>-5.616668701171875</v>
      </c>
    </row>
    <row r="12" spans="1:12" ht="15" customHeight="1" x14ac:dyDescent="0.2">
      <c r="A12" s="3" t="s">
        <v>1154</v>
      </c>
      <c r="B12" s="51">
        <f>[13]LTFP!$C$12</f>
        <v>4457876.7799999993</v>
      </c>
      <c r="C12" s="51">
        <f>B12*(1+Assumptions!C40)</f>
        <v>4569323.6994999992</v>
      </c>
      <c r="D12" s="51">
        <f>C12*(1+Assumptions!D40)</f>
        <v>4683556.7919874983</v>
      </c>
      <c r="E12" s="51">
        <f>D12*(1+Assumptions!E40)</f>
        <v>4800645.7117871856</v>
      </c>
      <c r="F12" s="51">
        <f>E12*(1+Assumptions!F40)</f>
        <v>4920661.8545818646</v>
      </c>
      <c r="G12" s="51">
        <f>F12*(1+Assumptions!G40)</f>
        <v>5043678.4009464104</v>
      </c>
      <c r="H12" s="51">
        <f>G12*(1+Assumptions!H40)</f>
        <v>5169770.3609700706</v>
      </c>
      <c r="I12" s="51">
        <f>H12*(1+Assumptions!I40)</f>
        <v>5299014.6199943218</v>
      </c>
      <c r="J12" s="51">
        <f>I12*(1+Assumptions!J40)</f>
        <v>5431489.9854941797</v>
      </c>
      <c r="K12" s="51">
        <f>J12*(1+Assumptions!K40)</f>
        <v>5567277.2351315338</v>
      </c>
      <c r="L12" s="51">
        <f>K12*(1+Assumptions!L40)</f>
        <v>5706459.1660098219</v>
      </c>
    </row>
    <row r="13" spans="1:12" ht="15" customHeight="1" x14ac:dyDescent="0.2">
      <c r="B13" s="66">
        <f>B12-TB!D35</f>
        <v>-11.220000000670552</v>
      </c>
    </row>
    <row r="14" spans="1:12" ht="15" customHeight="1" x14ac:dyDescent="0.2">
      <c r="A14" s="3" t="s">
        <v>1155</v>
      </c>
      <c r="B14" s="51">
        <f>[13]LTFP!$C$14</f>
        <v>765245</v>
      </c>
      <c r="C14" s="51">
        <f>B14*(1+Assumptions!C36+Assumptions!C38)</f>
        <v>796366.70039301517</v>
      </c>
      <c r="D14" s="51">
        <f>C14*(1+Assumptions!D36+Assumptions!D38)</f>
        <v>828754.08724638307</v>
      </c>
      <c r="E14" s="51">
        <f>D14*(1+Assumptions!E36+Assumptions!E38)</f>
        <v>862458.63468252274</v>
      </c>
      <c r="F14" s="51">
        <f>E14*(1+Assumptions!F36+Assumptions!F38)</f>
        <v>897533.91022167471</v>
      </c>
      <c r="G14" s="51">
        <f>F14*(1+Assumptions!G36+Assumptions!G38)</f>
        <v>934035.65991816449</v>
      </c>
      <c r="H14" s="51">
        <f>G14*(1+Assumptions!H36+Assumptions!H38)</f>
        <v>972021.89695906686</v>
      </c>
      <c r="I14" s="51">
        <f>H14*(1+Assumptions!I36+Assumptions!I38)</f>
        <v>1011552.993866084</v>
      </c>
      <c r="J14" s="51">
        <f>I14*(1+Assumptions!J36+Assumptions!J38)</f>
        <v>1052691.7784471761</v>
      </c>
      <c r="K14" s="51">
        <f>J14*(1+Assumptions!K36+Assumptions!K38)</f>
        <v>1095503.6336504421</v>
      </c>
      <c r="L14" s="51">
        <f>K14*(1+Assumptions!L36+Assumptions!L38)</f>
        <v>1140056.6014789527</v>
      </c>
    </row>
    <row r="15" spans="1:12" ht="15" customHeight="1" x14ac:dyDescent="0.2">
      <c r="B15" s="66">
        <f>B14-TB!D34-TB!D36</f>
        <v>0</v>
      </c>
    </row>
    <row r="16" spans="1:12" ht="15" customHeight="1" x14ac:dyDescent="0.25">
      <c r="A16" s="149" t="s">
        <v>1158</v>
      </c>
      <c r="B16" s="66">
        <f>[13]LTFP!$C$10</f>
        <v>42613509.172485836</v>
      </c>
      <c r="C16" s="66">
        <f>B16*(1+Assumptions!C36+Assumptions!C38)</f>
        <v>44346555.275578447</v>
      </c>
      <c r="D16" s="66">
        <f>C16*(1+Assumptions!D36+Assumptions!D38)</f>
        <v>46150082.520772912</v>
      </c>
      <c r="E16" s="66">
        <f>D16*(1+Assumptions!E36+Assumptions!E38)</f>
        <v>48026957.301169284</v>
      </c>
      <c r="F16" s="66">
        <f>E16*(1+Assumptions!F36+Assumptions!F38)</f>
        <v>49980162.583026886</v>
      </c>
      <c r="G16" s="66">
        <f>F16*(1+Assumptions!G36+Assumptions!G38)</f>
        <v>52012802.646670751</v>
      </c>
      <c r="H16" s="66">
        <f>G16*(1+Assumptions!H36+Assumptions!H38)</f>
        <v>54128108.020205647</v>
      </c>
      <c r="I16" s="66">
        <f>H16*(1+Assumptions!I36+Assumptions!I38)</f>
        <v>56329440.613879047</v>
      </c>
      <c r="J16" s="66">
        <f>I16*(1+Assumptions!J36+Assumptions!J38)</f>
        <v>58620299.063253149</v>
      </c>
      <c r="K16" s="66">
        <f>J16*(1+Assumptions!K36+Assumptions!K38)</f>
        <v>61004324.289678037</v>
      </c>
      <c r="L16" s="66">
        <f>K16*(1+Assumptions!L36+Assumptions!L38)</f>
        <v>63485305.286903366</v>
      </c>
    </row>
    <row r="17" spans="1:12" ht="15" customHeight="1" x14ac:dyDescent="0.2">
      <c r="A17" s="3" t="s">
        <v>1156</v>
      </c>
      <c r="B17" s="51">
        <f>TB!D37</f>
        <v>3999829</v>
      </c>
      <c r="C17" s="51">
        <f>C16*Assumptions!C46</f>
        <v>4212922.7511799522</v>
      </c>
      <c r="D17" s="51">
        <f>D16*Assumptions!D46</f>
        <v>4384257.8394734263</v>
      </c>
      <c r="E17" s="51">
        <f>E16*Assumptions!E46</f>
        <v>4562560.9436110817</v>
      </c>
      <c r="F17" s="51">
        <f>F16*Assumptions!F46</f>
        <v>4998016.2583026886</v>
      </c>
      <c r="G17" s="51">
        <f>G16*Assumptions!G46</f>
        <v>5461344.2779004285</v>
      </c>
      <c r="H17" s="51">
        <f>H16*Assumptions!H46</f>
        <v>5954091.8822226208</v>
      </c>
      <c r="I17" s="51">
        <f>I16*Assumptions!I46</f>
        <v>6477885.6705960911</v>
      </c>
      <c r="J17" s="51">
        <f>J16*Assumptions!J46</f>
        <v>7034435.8875903776</v>
      </c>
      <c r="K17" s="51">
        <f>K16*Assumptions!K46</f>
        <v>7320518.9147613645</v>
      </c>
      <c r="L17" s="51">
        <f>L16*Assumptions!L46</f>
        <v>7618236.6344284033</v>
      </c>
    </row>
    <row r="18" spans="1:12" ht="15" customHeight="1" x14ac:dyDescent="0.2">
      <c r="B18" s="66">
        <f>B17-TB!D37</f>
        <v>0</v>
      </c>
    </row>
    <row r="19" spans="1:12" ht="15" customHeight="1" x14ac:dyDescent="0.2">
      <c r="A19" s="3" t="s">
        <v>1157</v>
      </c>
      <c r="B19" s="51">
        <f>[13]LTFP!$C$18</f>
        <v>1334626.6027133658</v>
      </c>
      <c r="C19" s="51">
        <f>B19*(1+Assumptions!C40)</f>
        <v>1367992.2677811999</v>
      </c>
      <c r="D19" s="51">
        <f>C19*(1+Assumptions!D40)</f>
        <v>1402192.0744757298</v>
      </c>
      <c r="E19" s="51">
        <f>D19*(1+Assumptions!E40)</f>
        <v>1437246.876337623</v>
      </c>
      <c r="F19" s="51">
        <f>E19*(1+Assumptions!F40)</f>
        <v>1473178.0482460635</v>
      </c>
      <c r="G19" s="51">
        <f>F19*(1+Assumptions!G40)</f>
        <v>1510007.4994522149</v>
      </c>
      <c r="H19" s="51">
        <f>G19*(1+Assumptions!H40)</f>
        <v>1547757.6869385201</v>
      </c>
      <c r="I19" s="51">
        <f>H19*(1+Assumptions!I40)</f>
        <v>1586451.6291119829</v>
      </c>
      <c r="J19" s="51">
        <f>I19*(1+Assumptions!J40)</f>
        <v>1626112.9198397824</v>
      </c>
      <c r="K19" s="51">
        <f>J19*(1+Assumptions!K40)</f>
        <v>1666765.7428357769</v>
      </c>
      <c r="L19" s="51">
        <f>K19*(1+Assumptions!L40)</f>
        <v>1708434.8864066713</v>
      </c>
    </row>
    <row r="20" spans="1:12" ht="15" customHeight="1" x14ac:dyDescent="0.2">
      <c r="B20" s="66">
        <f>B19-TB!D38</f>
        <v>-0.39728663419373333</v>
      </c>
    </row>
    <row r="21" spans="1:12" ht="15" customHeight="1" x14ac:dyDescent="0.2"/>
    <row r="22" spans="1:12" ht="15" customHeight="1" x14ac:dyDescent="0.2"/>
    <row r="23" spans="1:12" ht="15" customHeight="1" x14ac:dyDescent="0.2">
      <c r="A23" s="3" t="s">
        <v>35</v>
      </c>
      <c r="B23" s="26"/>
    </row>
    <row r="24" spans="1:12" ht="15" customHeight="1" x14ac:dyDescent="0.25">
      <c r="C24" s="151">
        <v>2011</v>
      </c>
      <c r="D24" s="151">
        <v>2012</v>
      </c>
      <c r="E24" s="151">
        <v>2013</v>
      </c>
      <c r="F24" s="151">
        <v>2014</v>
      </c>
      <c r="G24" s="151">
        <v>2015</v>
      </c>
      <c r="H24" s="151">
        <v>2016</v>
      </c>
      <c r="I24" s="151">
        <v>2017</v>
      </c>
    </row>
    <row r="25" spans="1:12" ht="15" customHeight="1" x14ac:dyDescent="0.25">
      <c r="C25" s="152">
        <f>+'[14]Income Statement'!F$23/1000</f>
        <v>46936</v>
      </c>
      <c r="D25" s="152">
        <f>+'[14]Income Statement'!G$23/1000</f>
        <v>49777</v>
      </c>
      <c r="E25" s="152">
        <f>+'[14]Income Statement'!H$23/1000</f>
        <v>50523</v>
      </c>
      <c r="F25" s="152">
        <f>+'[14]Income Statement'!I$23/1000</f>
        <v>54626</v>
      </c>
      <c r="G25" s="152">
        <f>+'[14]Income Statement'!J$23/1000</f>
        <v>57677</v>
      </c>
      <c r="H25" s="152">
        <f>+'[14]Income Statement'!K$23/1000</f>
        <v>61715</v>
      </c>
      <c r="I25" s="152">
        <f>+'[14]Income Statement'!L$23/1000</f>
        <v>60427</v>
      </c>
    </row>
    <row r="26" spans="1:12" ht="15" customHeight="1" x14ac:dyDescent="0.2">
      <c r="D26" s="26">
        <f t="shared" ref="D26:F26" si="2">(D25-C25)/C25</f>
        <v>6.0529231293676496E-2</v>
      </c>
      <c r="E26" s="26">
        <f t="shared" si="2"/>
        <v>1.4986841312252646E-2</v>
      </c>
      <c r="F26" s="26">
        <f t="shared" si="2"/>
        <v>8.1210537774874816E-2</v>
      </c>
      <c r="G26" s="26">
        <f>(G25-F25)/F25</f>
        <v>5.5852524438911873E-2</v>
      </c>
      <c r="H26" s="26">
        <f t="shared" ref="H26:I26" si="3">(H25-G25)/G25</f>
        <v>7.0010576139535693E-2</v>
      </c>
      <c r="I26" s="26">
        <f t="shared" si="3"/>
        <v>-2.0870128817953495E-2</v>
      </c>
    </row>
    <row r="27" spans="1:12" ht="15" customHeight="1" x14ac:dyDescent="0.2">
      <c r="A27" s="3" t="s">
        <v>1159</v>
      </c>
      <c r="I27" s="153">
        <f>ROUND(AVERAGE(D26:I26),4)+0.00689366059431733%</f>
        <v>4.3668936605943176E-2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zoomScale="110" zoomScaleNormal="110" workbookViewId="0">
      <pane xSplit="1" ySplit="5" topLeftCell="B69" activePane="bottomRight" state="frozen"/>
      <selection pane="topRight" activeCell="B1" sqref="B1"/>
      <selection pane="bottomLeft" activeCell="A6" sqref="A6"/>
      <selection pane="bottomRight" activeCell="J85" sqref="J85"/>
    </sheetView>
  </sheetViews>
  <sheetFormatPr defaultRowHeight="15" x14ac:dyDescent="0.25"/>
  <cols>
    <col min="1" max="1" width="16.28515625" customWidth="1"/>
    <col min="2" max="2" width="31.28515625" customWidth="1"/>
    <col min="3" max="13" width="12.7109375" customWidth="1"/>
  </cols>
  <sheetData>
    <row r="1" spans="1:13" ht="21" customHeight="1" x14ac:dyDescent="0.25">
      <c r="A1" s="2" t="str">
        <f>MODEL_NAME</f>
        <v>Long Term Financial Plan 2018-28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8" customHeight="1" x14ac:dyDescent="0.25">
      <c r="A2" s="1" t="s">
        <v>38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B4" s="6"/>
      <c r="C4" s="7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17</v>
      </c>
    </row>
    <row r="5" spans="1:13" x14ac:dyDescent="0.25">
      <c r="B5" s="6"/>
      <c r="C5" s="7">
        <f>BASE_YR</f>
        <v>2018</v>
      </c>
      <c r="D5" s="12">
        <f>C5+1</f>
        <v>2019</v>
      </c>
      <c r="E5" s="12">
        <f t="shared" ref="E5:M5" si="0">D5+1</f>
        <v>2020</v>
      </c>
      <c r="F5" s="12">
        <f t="shared" si="0"/>
        <v>2021</v>
      </c>
      <c r="G5" s="12">
        <f t="shared" si="0"/>
        <v>2022</v>
      </c>
      <c r="H5" s="12">
        <f t="shared" si="0"/>
        <v>2023</v>
      </c>
      <c r="I5" s="12">
        <f t="shared" si="0"/>
        <v>2024</v>
      </c>
      <c r="J5" s="12">
        <f t="shared" si="0"/>
        <v>2025</v>
      </c>
      <c r="K5" s="12">
        <f t="shared" si="0"/>
        <v>2026</v>
      </c>
      <c r="L5" s="12">
        <f t="shared" si="0"/>
        <v>2027</v>
      </c>
      <c r="M5" s="12">
        <f t="shared" si="0"/>
        <v>2028</v>
      </c>
    </row>
    <row r="6" spans="1:13" ht="18" customHeight="1" x14ac:dyDescent="0.25">
      <c r="A6" s="28" t="s">
        <v>6</v>
      </c>
    </row>
    <row r="8" spans="1:13" x14ac:dyDescent="0.25">
      <c r="A8" s="29" t="s">
        <v>39</v>
      </c>
      <c r="B8" s="29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25">
      <c r="A9" s="31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</row>
    <row r="10" spans="1:13" x14ac:dyDescent="0.25">
      <c r="A10" s="33" t="s">
        <v>40</v>
      </c>
      <c r="B10" s="34" t="s">
        <v>41</v>
      </c>
      <c r="C10" s="34">
        <f>SUBTOTAL(9,C9)</f>
        <v>0</v>
      </c>
      <c r="D10" s="34">
        <f t="shared" ref="D10:M10" si="1">SUBTOTAL(9,D9)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f t="shared" si="1"/>
        <v>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</row>
    <row r="12" spans="1:13" x14ac:dyDescent="0.25">
      <c r="A12" s="29" t="s">
        <v>42</v>
      </c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</row>
    <row r="13" spans="1:13" x14ac:dyDescent="0.25">
      <c r="A13" s="31"/>
      <c r="B13" s="31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</row>
    <row r="14" spans="1:13" x14ac:dyDescent="0.25">
      <c r="A14" s="33" t="s">
        <v>43</v>
      </c>
      <c r="B14" s="34" t="s">
        <v>44</v>
      </c>
      <c r="C14" s="34">
        <f>SUBTOTAL(9,C13)</f>
        <v>0</v>
      </c>
      <c r="D14" s="34">
        <f t="shared" ref="D14:M14" si="2">SUBTOTAL(9,D13)</f>
        <v>0</v>
      </c>
      <c r="E14" s="34">
        <f t="shared" si="2"/>
        <v>0</v>
      </c>
      <c r="F14" s="34">
        <f t="shared" si="2"/>
        <v>0</v>
      </c>
      <c r="G14" s="34">
        <f t="shared" si="2"/>
        <v>0</v>
      </c>
      <c r="H14" s="34">
        <f t="shared" si="2"/>
        <v>0</v>
      </c>
      <c r="I14" s="34">
        <f t="shared" si="2"/>
        <v>0</v>
      </c>
      <c r="J14" s="34">
        <f t="shared" si="2"/>
        <v>0</v>
      </c>
      <c r="K14" s="34">
        <f t="shared" si="2"/>
        <v>0</v>
      </c>
      <c r="L14" s="34">
        <f t="shared" si="2"/>
        <v>0</v>
      </c>
      <c r="M14" s="34">
        <f t="shared" si="2"/>
        <v>0</v>
      </c>
    </row>
    <row r="16" spans="1:13" x14ac:dyDescent="0.25">
      <c r="A16" s="29" t="s">
        <v>45</v>
      </c>
      <c r="B16" s="29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1:13" x14ac:dyDescent="0.25">
      <c r="A17" s="31"/>
      <c r="B17" s="31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</row>
    <row r="18" spans="1:13" x14ac:dyDescent="0.25">
      <c r="A18" s="33" t="s">
        <v>46</v>
      </c>
      <c r="B18" s="34" t="s">
        <v>47</v>
      </c>
      <c r="C18" s="34">
        <f>SUBTOTAL(9,C17)</f>
        <v>0</v>
      </c>
      <c r="D18" s="34">
        <f t="shared" ref="D18:M18" si="3">SUBTOTAL(9,D17)</f>
        <v>0</v>
      </c>
      <c r="E18" s="34">
        <f t="shared" si="3"/>
        <v>0</v>
      </c>
      <c r="F18" s="34">
        <f t="shared" si="3"/>
        <v>0</v>
      </c>
      <c r="G18" s="34">
        <f t="shared" si="3"/>
        <v>0</v>
      </c>
      <c r="H18" s="34">
        <f t="shared" si="3"/>
        <v>0</v>
      </c>
      <c r="I18" s="34">
        <f t="shared" si="3"/>
        <v>0</v>
      </c>
      <c r="J18" s="34">
        <f t="shared" si="3"/>
        <v>0</v>
      </c>
      <c r="K18" s="34">
        <f t="shared" si="3"/>
        <v>0</v>
      </c>
      <c r="L18" s="34">
        <f t="shared" si="3"/>
        <v>0</v>
      </c>
      <c r="M18" s="34">
        <f t="shared" si="3"/>
        <v>0</v>
      </c>
    </row>
    <row r="20" spans="1:13" x14ac:dyDescent="0.25">
      <c r="A20" s="29" t="s">
        <v>48</v>
      </c>
      <c r="B20" s="29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1:13" x14ac:dyDescent="0.25">
      <c r="A21" s="31"/>
      <c r="B21" s="31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</row>
    <row r="22" spans="1:13" x14ac:dyDescent="0.25">
      <c r="A22" s="33" t="s">
        <v>49</v>
      </c>
      <c r="B22" s="34" t="s">
        <v>50</v>
      </c>
      <c r="C22" s="34">
        <f>SUBTOTAL(9,C21)</f>
        <v>0</v>
      </c>
      <c r="D22" s="34">
        <f t="shared" ref="D22:M22" si="4">SUBTOTAL(9,D21)</f>
        <v>0</v>
      </c>
      <c r="E22" s="34">
        <f t="shared" si="4"/>
        <v>0</v>
      </c>
      <c r="F22" s="34">
        <f t="shared" si="4"/>
        <v>0</v>
      </c>
      <c r="G22" s="34">
        <f t="shared" si="4"/>
        <v>0</v>
      </c>
      <c r="H22" s="34">
        <f t="shared" si="4"/>
        <v>0</v>
      </c>
      <c r="I22" s="34">
        <f t="shared" si="4"/>
        <v>0</v>
      </c>
      <c r="J22" s="34">
        <f t="shared" si="4"/>
        <v>0</v>
      </c>
      <c r="K22" s="34">
        <f t="shared" si="4"/>
        <v>0</v>
      </c>
      <c r="L22" s="34">
        <f t="shared" si="4"/>
        <v>0</v>
      </c>
      <c r="M22" s="34">
        <f t="shared" si="4"/>
        <v>0</v>
      </c>
    </row>
    <row r="24" spans="1:13" x14ac:dyDescent="0.25">
      <c r="A24" s="29" t="s">
        <v>51</v>
      </c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 x14ac:dyDescent="0.25">
      <c r="A25" s="31"/>
      <c r="B25" s="31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</row>
    <row r="26" spans="1:13" x14ac:dyDescent="0.25">
      <c r="A26" s="33" t="s">
        <v>52</v>
      </c>
      <c r="B26" s="34" t="s">
        <v>53</v>
      </c>
      <c r="C26" s="34">
        <f>SUBTOTAL(9,C25)</f>
        <v>0</v>
      </c>
      <c r="D26" s="34">
        <f t="shared" ref="D26:M26" si="5">SUBTOTAL(9,D25)</f>
        <v>0</v>
      </c>
      <c r="E26" s="34">
        <f t="shared" si="5"/>
        <v>0</v>
      </c>
      <c r="F26" s="34">
        <f t="shared" si="5"/>
        <v>0</v>
      </c>
      <c r="G26" s="34">
        <f t="shared" si="5"/>
        <v>0</v>
      </c>
      <c r="H26" s="34">
        <f t="shared" si="5"/>
        <v>0</v>
      </c>
      <c r="I26" s="34">
        <f t="shared" si="5"/>
        <v>0</v>
      </c>
      <c r="J26" s="34">
        <f t="shared" si="5"/>
        <v>0</v>
      </c>
      <c r="K26" s="34">
        <f t="shared" si="5"/>
        <v>0</v>
      </c>
      <c r="L26" s="34">
        <f t="shared" si="5"/>
        <v>0</v>
      </c>
      <c r="M26" s="34">
        <f t="shared" si="5"/>
        <v>0</v>
      </c>
    </row>
    <row r="28" spans="1:13" x14ac:dyDescent="0.25">
      <c r="A28" s="29" t="s">
        <v>54</v>
      </c>
      <c r="B28" s="29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 x14ac:dyDescent="0.25">
      <c r="A29" s="31"/>
      <c r="B29" s="31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</row>
    <row r="30" spans="1:13" x14ac:dyDescent="0.25">
      <c r="A30" s="33" t="s">
        <v>55</v>
      </c>
      <c r="B30" s="34" t="s">
        <v>56</v>
      </c>
      <c r="C30" s="34">
        <f>SUBTOTAL(9,C29)</f>
        <v>0</v>
      </c>
      <c r="D30" s="34">
        <f t="shared" ref="D30:M30" si="6">SUBTOTAL(9,D29)</f>
        <v>0</v>
      </c>
      <c r="E30" s="34">
        <f t="shared" si="6"/>
        <v>0</v>
      </c>
      <c r="F30" s="34">
        <f t="shared" si="6"/>
        <v>0</v>
      </c>
      <c r="G30" s="34">
        <f t="shared" si="6"/>
        <v>0</v>
      </c>
      <c r="H30" s="34">
        <f t="shared" si="6"/>
        <v>0</v>
      </c>
      <c r="I30" s="34">
        <f t="shared" si="6"/>
        <v>0</v>
      </c>
      <c r="J30" s="34">
        <f t="shared" si="6"/>
        <v>0</v>
      </c>
      <c r="K30" s="34">
        <f t="shared" si="6"/>
        <v>0</v>
      </c>
      <c r="L30" s="34">
        <f t="shared" si="6"/>
        <v>0</v>
      </c>
      <c r="M30" s="34">
        <f t="shared" si="6"/>
        <v>0</v>
      </c>
    </row>
    <row r="32" spans="1:13" x14ac:dyDescent="0.25">
      <c r="A32" s="29" t="s">
        <v>57</v>
      </c>
      <c r="B32" s="29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1:13" x14ac:dyDescent="0.25">
      <c r="A33" s="31"/>
      <c r="B33" s="31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33" t="s">
        <v>58</v>
      </c>
      <c r="B34" s="34" t="s">
        <v>59</v>
      </c>
      <c r="C34" s="34">
        <f>SUBTOTAL(9,C33)</f>
        <v>0</v>
      </c>
      <c r="D34" s="34">
        <f t="shared" ref="D34:M34" si="7">SUBTOTAL(9,D33)</f>
        <v>0</v>
      </c>
      <c r="E34" s="34">
        <f t="shared" si="7"/>
        <v>0</v>
      </c>
      <c r="F34" s="34">
        <f t="shared" si="7"/>
        <v>0</v>
      </c>
      <c r="G34" s="34">
        <f t="shared" si="7"/>
        <v>0</v>
      </c>
      <c r="H34" s="34">
        <f t="shared" si="7"/>
        <v>0</v>
      </c>
      <c r="I34" s="34">
        <f t="shared" si="7"/>
        <v>0</v>
      </c>
      <c r="J34" s="34">
        <f t="shared" si="7"/>
        <v>0</v>
      </c>
      <c r="K34" s="34">
        <f t="shared" si="7"/>
        <v>0</v>
      </c>
      <c r="L34" s="34">
        <f t="shared" si="7"/>
        <v>0</v>
      </c>
      <c r="M34" s="34">
        <f t="shared" si="7"/>
        <v>0</v>
      </c>
    </row>
    <row r="36" spans="1:13" x14ac:dyDescent="0.25">
      <c r="A36" s="29" t="s">
        <v>60</v>
      </c>
      <c r="B36" s="29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1:13" x14ac:dyDescent="0.25">
      <c r="A37" s="31" t="s">
        <v>1162</v>
      </c>
      <c r="B37" s="31"/>
      <c r="C37" s="32"/>
      <c r="D37" s="32">
        <f>'[15]OPTION 2 - 2017 - maint only'!E37</f>
        <v>219969.05371241222</v>
      </c>
      <c r="E37" s="32">
        <f>'[15]OPTION 2 - 2017 - maint only'!F37</f>
        <v>200150.46684714512</v>
      </c>
      <c r="F37" s="32">
        <f>'[15]OPTION 2 - 2017 - maint only'!G37</f>
        <v>209097.16452564392</v>
      </c>
      <c r="G37" s="32">
        <f>'[15]OPTION 2 - 2017 - maint only'!H37</f>
        <v>218586.5336200801</v>
      </c>
      <c r="H37" s="32">
        <f>'[15]OPTION 2 - 2017 - maint only'!I37</f>
        <v>228509.82678364124</v>
      </c>
      <c r="I37" s="32">
        <f>'[15]OPTION 2 - 2017 - maint only'!J37</f>
        <v>238655.63886901434</v>
      </c>
      <c r="J37" s="32">
        <f>'[15]OPTION 2 - 2017 - maint only'!K37</f>
        <v>249006.8793482153</v>
      </c>
      <c r="K37" s="32">
        <f>'[15]OPTION 2 - 2017 - maint only'!L37</f>
        <v>260163.4993787728</v>
      </c>
      <c r="L37" s="32">
        <f>'[15]OPTION 2 - 2017 - maint only'!M37</f>
        <v>271836.20145338407</v>
      </c>
      <c r="M37" s="32">
        <f>'[15]OPTION 2 - 2017 - maint only'!N37</f>
        <v>284049.11971595278</v>
      </c>
    </row>
    <row r="38" spans="1:13" x14ac:dyDescent="0.25">
      <c r="A38" s="33" t="s">
        <v>61</v>
      </c>
      <c r="B38" s="34" t="s">
        <v>62</v>
      </c>
      <c r="C38" s="34">
        <f>SUBTOTAL(9,C37)</f>
        <v>0</v>
      </c>
      <c r="D38" s="34">
        <f t="shared" ref="D38:M38" si="8">SUBTOTAL(9,D37)</f>
        <v>219969.05371241222</v>
      </c>
      <c r="E38" s="34">
        <f t="shared" si="8"/>
        <v>200150.46684714512</v>
      </c>
      <c r="F38" s="34">
        <f t="shared" si="8"/>
        <v>209097.16452564392</v>
      </c>
      <c r="G38" s="34">
        <f t="shared" si="8"/>
        <v>218586.5336200801</v>
      </c>
      <c r="H38" s="34">
        <f t="shared" si="8"/>
        <v>228509.82678364124</v>
      </c>
      <c r="I38" s="34">
        <f t="shared" si="8"/>
        <v>238655.63886901434</v>
      </c>
      <c r="J38" s="34">
        <f t="shared" si="8"/>
        <v>249006.8793482153</v>
      </c>
      <c r="K38" s="34">
        <f t="shared" si="8"/>
        <v>260163.4993787728</v>
      </c>
      <c r="L38" s="34">
        <f t="shared" si="8"/>
        <v>271836.20145338407</v>
      </c>
      <c r="M38" s="34">
        <f t="shared" si="8"/>
        <v>284049.11971595278</v>
      </c>
    </row>
    <row r="40" spans="1:13" x14ac:dyDescent="0.25">
      <c r="A40" s="29" t="s">
        <v>63</v>
      </c>
      <c r="B40" s="29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 x14ac:dyDescent="0.25">
      <c r="A41" s="31"/>
      <c r="B41" s="31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</row>
    <row r="42" spans="1:13" x14ac:dyDescent="0.25">
      <c r="A42" s="33" t="s">
        <v>64</v>
      </c>
      <c r="B42" s="34" t="s">
        <v>65</v>
      </c>
      <c r="C42" s="34">
        <f>SUBTOTAL(9,C41)</f>
        <v>0</v>
      </c>
      <c r="D42" s="34">
        <f t="shared" ref="D42:M42" si="9">SUBTOTAL(9,D41)</f>
        <v>0</v>
      </c>
      <c r="E42" s="34">
        <f t="shared" si="9"/>
        <v>0</v>
      </c>
      <c r="F42" s="34">
        <f t="shared" si="9"/>
        <v>0</v>
      </c>
      <c r="G42" s="34">
        <f t="shared" si="9"/>
        <v>0</v>
      </c>
      <c r="H42" s="34">
        <f t="shared" si="9"/>
        <v>0</v>
      </c>
      <c r="I42" s="34">
        <f t="shared" si="9"/>
        <v>0</v>
      </c>
      <c r="J42" s="34">
        <f t="shared" si="9"/>
        <v>0</v>
      </c>
      <c r="K42" s="34">
        <f t="shared" si="9"/>
        <v>0</v>
      </c>
      <c r="L42" s="34">
        <f t="shared" si="9"/>
        <v>0</v>
      </c>
      <c r="M42" s="34">
        <f t="shared" si="9"/>
        <v>0</v>
      </c>
    </row>
    <row r="44" spans="1:13" x14ac:dyDescent="0.25">
      <c r="A44" s="29" t="s">
        <v>66</v>
      </c>
      <c r="B44" s="29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 x14ac:dyDescent="0.25">
      <c r="A45" s="31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</row>
    <row r="46" spans="1:13" x14ac:dyDescent="0.25">
      <c r="A46" s="33" t="s">
        <v>67</v>
      </c>
      <c r="B46" s="34" t="s">
        <v>68</v>
      </c>
      <c r="C46" s="34">
        <f>SUBTOTAL(9,C45)</f>
        <v>0</v>
      </c>
      <c r="D46" s="34">
        <f t="shared" ref="D46:M46" si="10">SUBTOTAL(9,D45)</f>
        <v>0</v>
      </c>
      <c r="E46" s="34">
        <f t="shared" si="10"/>
        <v>0</v>
      </c>
      <c r="F46" s="34">
        <f t="shared" si="10"/>
        <v>0</v>
      </c>
      <c r="G46" s="34">
        <f t="shared" si="10"/>
        <v>0</v>
      </c>
      <c r="H46" s="34">
        <f t="shared" si="10"/>
        <v>0</v>
      </c>
      <c r="I46" s="34">
        <f t="shared" si="10"/>
        <v>0</v>
      </c>
      <c r="J46" s="34">
        <f t="shared" si="10"/>
        <v>0</v>
      </c>
      <c r="K46" s="34">
        <f t="shared" si="10"/>
        <v>0</v>
      </c>
      <c r="L46" s="34">
        <f t="shared" si="10"/>
        <v>0</v>
      </c>
      <c r="M46" s="34">
        <f t="shared" si="10"/>
        <v>0</v>
      </c>
    </row>
    <row r="48" spans="1:13" x14ac:dyDescent="0.25">
      <c r="A48" s="29" t="s">
        <v>69</v>
      </c>
      <c r="B48" s="29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1:13" x14ac:dyDescent="0.25">
      <c r="A49" s="31"/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</row>
    <row r="50" spans="1:13" x14ac:dyDescent="0.25">
      <c r="A50" s="33" t="s">
        <v>70</v>
      </c>
      <c r="B50" s="34" t="s">
        <v>71</v>
      </c>
      <c r="C50" s="34">
        <f>SUBTOTAL(9,C49)</f>
        <v>0</v>
      </c>
      <c r="D50" s="34">
        <f t="shared" ref="D50:M50" si="11">SUBTOTAL(9,D49)</f>
        <v>0</v>
      </c>
      <c r="E50" s="34">
        <f t="shared" si="11"/>
        <v>0</v>
      </c>
      <c r="F50" s="34">
        <f t="shared" si="11"/>
        <v>0</v>
      </c>
      <c r="G50" s="34">
        <f t="shared" si="11"/>
        <v>0</v>
      </c>
      <c r="H50" s="34">
        <f t="shared" si="11"/>
        <v>0</v>
      </c>
      <c r="I50" s="34">
        <f t="shared" si="11"/>
        <v>0</v>
      </c>
      <c r="J50" s="34">
        <f t="shared" si="11"/>
        <v>0</v>
      </c>
      <c r="K50" s="34">
        <f t="shared" si="11"/>
        <v>0</v>
      </c>
      <c r="L50" s="34">
        <f t="shared" si="11"/>
        <v>0</v>
      </c>
      <c r="M50" s="34">
        <f t="shared" si="11"/>
        <v>0</v>
      </c>
    </row>
    <row r="52" spans="1:13" x14ac:dyDescent="0.25">
      <c r="A52" s="29" t="s">
        <v>72</v>
      </c>
      <c r="B52" s="29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1:13" x14ac:dyDescent="0.25">
      <c r="A53" s="31"/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</row>
    <row r="54" spans="1:13" x14ac:dyDescent="0.25">
      <c r="A54" s="33" t="s">
        <v>73</v>
      </c>
      <c r="B54" s="34" t="s">
        <v>74</v>
      </c>
      <c r="C54" s="34">
        <f>SUBTOTAL(9,C53)</f>
        <v>0</v>
      </c>
      <c r="D54" s="34">
        <f t="shared" ref="D54:M54" si="12">SUBTOTAL(9,D53)</f>
        <v>0</v>
      </c>
      <c r="E54" s="34">
        <f t="shared" si="12"/>
        <v>0</v>
      </c>
      <c r="F54" s="34">
        <f t="shared" si="12"/>
        <v>0</v>
      </c>
      <c r="G54" s="34">
        <f t="shared" si="12"/>
        <v>0</v>
      </c>
      <c r="H54" s="34">
        <f t="shared" si="12"/>
        <v>0</v>
      </c>
      <c r="I54" s="34">
        <f t="shared" si="12"/>
        <v>0</v>
      </c>
      <c r="J54" s="34">
        <f t="shared" si="12"/>
        <v>0</v>
      </c>
      <c r="K54" s="34">
        <f t="shared" si="12"/>
        <v>0</v>
      </c>
      <c r="L54" s="34">
        <f t="shared" si="12"/>
        <v>0</v>
      </c>
      <c r="M54" s="34">
        <f t="shared" si="12"/>
        <v>0</v>
      </c>
    </row>
    <row r="56" spans="1:13" x14ac:dyDescent="0.25">
      <c r="A56" s="29" t="s">
        <v>75</v>
      </c>
      <c r="B56" s="29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1:13" x14ac:dyDescent="0.25">
      <c r="A57" s="31"/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</row>
    <row r="58" spans="1:13" x14ac:dyDescent="0.25">
      <c r="A58" s="33" t="s">
        <v>76</v>
      </c>
      <c r="B58" s="34" t="s">
        <v>77</v>
      </c>
      <c r="C58" s="34">
        <f>SUBTOTAL(9,C57)</f>
        <v>0</v>
      </c>
      <c r="D58" s="34">
        <f t="shared" ref="D58:M58" si="13">SUBTOTAL(9,D57)</f>
        <v>0</v>
      </c>
      <c r="E58" s="34">
        <f t="shared" si="13"/>
        <v>0</v>
      </c>
      <c r="F58" s="34">
        <f t="shared" si="13"/>
        <v>0</v>
      </c>
      <c r="G58" s="34">
        <f t="shared" si="13"/>
        <v>0</v>
      </c>
      <c r="H58" s="34">
        <f t="shared" si="13"/>
        <v>0</v>
      </c>
      <c r="I58" s="34">
        <f t="shared" si="13"/>
        <v>0</v>
      </c>
      <c r="J58" s="34">
        <f t="shared" si="13"/>
        <v>0</v>
      </c>
      <c r="K58" s="34">
        <f t="shared" si="13"/>
        <v>0</v>
      </c>
      <c r="L58" s="34">
        <f t="shared" si="13"/>
        <v>0</v>
      </c>
      <c r="M58" s="34">
        <f t="shared" si="13"/>
        <v>0</v>
      </c>
    </row>
    <row r="60" spans="1:13" x14ac:dyDescent="0.25">
      <c r="A60" s="29" t="s">
        <v>78</v>
      </c>
      <c r="B60" s="29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 x14ac:dyDescent="0.25">
      <c r="A61" s="31"/>
      <c r="B61" s="31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</row>
    <row r="62" spans="1:13" x14ac:dyDescent="0.25">
      <c r="A62" s="33" t="s">
        <v>79</v>
      </c>
      <c r="B62" s="34" t="s">
        <v>71</v>
      </c>
      <c r="C62" s="34">
        <f>SUBTOTAL(9,C61)</f>
        <v>0</v>
      </c>
      <c r="D62" s="34">
        <f t="shared" ref="D62:M62" si="14">SUBTOTAL(9,D61)</f>
        <v>0</v>
      </c>
      <c r="E62" s="34">
        <f t="shared" si="14"/>
        <v>0</v>
      </c>
      <c r="F62" s="34">
        <f t="shared" si="14"/>
        <v>0</v>
      </c>
      <c r="G62" s="34">
        <f t="shared" si="14"/>
        <v>0</v>
      </c>
      <c r="H62" s="34">
        <f t="shared" si="14"/>
        <v>0</v>
      </c>
      <c r="I62" s="34">
        <f t="shared" si="14"/>
        <v>0</v>
      </c>
      <c r="J62" s="34">
        <f t="shared" si="14"/>
        <v>0</v>
      </c>
      <c r="K62" s="34">
        <f t="shared" si="14"/>
        <v>0</v>
      </c>
      <c r="L62" s="34">
        <f t="shared" si="14"/>
        <v>0</v>
      </c>
      <c r="M62" s="34">
        <f t="shared" si="14"/>
        <v>0</v>
      </c>
    </row>
    <row r="64" spans="1:13" ht="18" customHeight="1" x14ac:dyDescent="0.25">
      <c r="A64" s="28" t="s">
        <v>34</v>
      </c>
    </row>
    <row r="66" spans="1:13" x14ac:dyDescent="0.25">
      <c r="A66" s="35" t="s">
        <v>80</v>
      </c>
      <c r="B66" s="35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x14ac:dyDescent="0.25">
      <c r="A67" s="37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</row>
    <row r="68" spans="1:13" x14ac:dyDescent="0.25">
      <c r="A68" s="39" t="s">
        <v>81</v>
      </c>
      <c r="B68" s="40" t="s">
        <v>82</v>
      </c>
      <c r="C68" s="40">
        <f>SUBTOTAL(9,C67)</f>
        <v>0</v>
      </c>
      <c r="D68" s="40">
        <f t="shared" ref="D68:M68" si="15">SUBTOTAL(9,D67)</f>
        <v>0</v>
      </c>
      <c r="E68" s="40">
        <f t="shared" si="15"/>
        <v>0</v>
      </c>
      <c r="F68" s="40">
        <f t="shared" si="15"/>
        <v>0</v>
      </c>
      <c r="G68" s="40">
        <f t="shared" si="15"/>
        <v>0</v>
      </c>
      <c r="H68" s="40">
        <f t="shared" si="15"/>
        <v>0</v>
      </c>
      <c r="I68" s="40">
        <f t="shared" si="15"/>
        <v>0</v>
      </c>
      <c r="J68" s="40">
        <f t="shared" si="15"/>
        <v>0</v>
      </c>
      <c r="K68" s="40">
        <f t="shared" si="15"/>
        <v>0</v>
      </c>
      <c r="L68" s="40">
        <f t="shared" si="15"/>
        <v>0</v>
      </c>
      <c r="M68" s="40">
        <f t="shared" si="15"/>
        <v>0</v>
      </c>
    </row>
    <row r="70" spans="1:13" x14ac:dyDescent="0.25">
      <c r="A70" s="35" t="s">
        <v>36</v>
      </c>
      <c r="B70" s="35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s="44" customFormat="1" x14ac:dyDescent="0.25">
      <c r="A71" s="37"/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</row>
    <row r="72" spans="1:13" x14ac:dyDescent="0.25">
      <c r="A72" s="37" t="s">
        <v>1163</v>
      </c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</row>
    <row r="73" spans="1:13" x14ac:dyDescent="0.25">
      <c r="A73" s="39" t="s">
        <v>83</v>
      </c>
      <c r="B73" s="40" t="s">
        <v>84</v>
      </c>
      <c r="C73" s="40">
        <f>SUBTOTAL(9,C71:C72)</f>
        <v>0</v>
      </c>
      <c r="D73" s="40">
        <f t="shared" ref="D73:M73" si="16">SUBTOTAL(9,D71:D72)</f>
        <v>0</v>
      </c>
      <c r="E73" s="40">
        <f t="shared" si="16"/>
        <v>0</v>
      </c>
      <c r="F73" s="40">
        <f t="shared" si="16"/>
        <v>0</v>
      </c>
      <c r="G73" s="40">
        <f t="shared" si="16"/>
        <v>0</v>
      </c>
      <c r="H73" s="40">
        <f t="shared" si="16"/>
        <v>0</v>
      </c>
      <c r="I73" s="40">
        <f t="shared" si="16"/>
        <v>0</v>
      </c>
      <c r="J73" s="40">
        <f t="shared" si="16"/>
        <v>0</v>
      </c>
      <c r="K73" s="40">
        <f t="shared" si="16"/>
        <v>0</v>
      </c>
      <c r="L73" s="40">
        <f t="shared" si="16"/>
        <v>0</v>
      </c>
      <c r="M73" s="40">
        <f t="shared" si="16"/>
        <v>0</v>
      </c>
    </row>
    <row r="75" spans="1:13" x14ac:dyDescent="0.25">
      <c r="A75" s="35" t="s">
        <v>85</v>
      </c>
      <c r="B75" s="35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x14ac:dyDescent="0.25">
      <c r="A76" s="37" t="s">
        <v>1162</v>
      </c>
      <c r="B76" s="37"/>
      <c r="C76" s="38"/>
      <c r="D76" s="38">
        <f>'[15]OPTION 2 - 2017 - maint only'!E65</f>
        <v>344401.69168657548</v>
      </c>
      <c r="E76" s="38">
        <f>'[15]OPTION 2 - 2017 - maint only'!F65</f>
        <v>322431.80197019916</v>
      </c>
      <c r="F76" s="38">
        <f>'[15]OPTION 2 - 2017 - maint only'!G65</f>
        <v>331250.92638411309</v>
      </c>
      <c r="G76" s="38">
        <f>'[15]OPTION 2 - 2017 - maint only'!H65</f>
        <v>340647.31218068046</v>
      </c>
      <c r="H76" s="38">
        <f>'[15]OPTION 2 - 2017 - maint only'!I65</f>
        <v>349981.56372936466</v>
      </c>
      <c r="I76" s="38">
        <f>'[15]OPTION 2 - 2017 - maint only'!J65</f>
        <v>359713.05104975001</v>
      </c>
      <c r="J76" s="38">
        <f>'[15]OPTION 2 - 2017 - maint only'!K65</f>
        <v>369268.87883385504</v>
      </c>
      <c r="K76" s="38">
        <f>'[15]OPTION 2 - 2017 - maint only'!L65</f>
        <v>379495.24777126341</v>
      </c>
      <c r="L76" s="38">
        <f>'[15]OPTION 2 - 2017 - maint only'!M65</f>
        <v>390022.03504560218</v>
      </c>
      <c r="M76" s="38">
        <f>'[15]OPTION 2 - 2017 - maint only'!N65</f>
        <v>400858.76527540223</v>
      </c>
    </row>
    <row r="77" spans="1:13" x14ac:dyDescent="0.25">
      <c r="A77" s="39" t="s">
        <v>86</v>
      </c>
      <c r="B77" s="40" t="s">
        <v>87</v>
      </c>
      <c r="C77" s="40">
        <f>SUBTOTAL(9,C76)</f>
        <v>0</v>
      </c>
      <c r="D77" s="40">
        <f t="shared" ref="D77:M77" si="17">SUBTOTAL(9,D76)</f>
        <v>344401.69168657548</v>
      </c>
      <c r="E77" s="40">
        <f t="shared" si="17"/>
        <v>322431.80197019916</v>
      </c>
      <c r="F77" s="40">
        <f t="shared" si="17"/>
        <v>331250.92638411309</v>
      </c>
      <c r="G77" s="40">
        <f t="shared" si="17"/>
        <v>340647.31218068046</v>
      </c>
      <c r="H77" s="40">
        <f t="shared" si="17"/>
        <v>349981.56372936466</v>
      </c>
      <c r="I77" s="40">
        <f t="shared" si="17"/>
        <v>359713.05104975001</v>
      </c>
      <c r="J77" s="40">
        <f t="shared" si="17"/>
        <v>369268.87883385504</v>
      </c>
      <c r="K77" s="40">
        <f t="shared" si="17"/>
        <v>379495.24777126341</v>
      </c>
      <c r="L77" s="40">
        <f t="shared" si="17"/>
        <v>390022.03504560218</v>
      </c>
      <c r="M77" s="40">
        <f t="shared" si="17"/>
        <v>400858.76527540223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zoomScale="130" zoomScaleNormal="130" workbookViewId="0">
      <selection activeCell="E15" sqref="E15"/>
    </sheetView>
  </sheetViews>
  <sheetFormatPr defaultRowHeight="15" x14ac:dyDescent="0.25"/>
  <cols>
    <col min="1" max="1" width="20.85546875" customWidth="1"/>
    <col min="2" max="2" width="41.7109375" customWidth="1"/>
  </cols>
  <sheetData>
    <row r="1" spans="1:2" ht="18" x14ac:dyDescent="0.25">
      <c r="A1" s="2" t="str">
        <f>MODEL_NAME</f>
        <v>Long Term Financial Plan 2018-28</v>
      </c>
    </row>
    <row r="2" spans="1:2" ht="15.75" x14ac:dyDescent="0.25">
      <c r="A2" s="1" t="s">
        <v>0</v>
      </c>
    </row>
    <row r="4" spans="1:2" x14ac:dyDescent="0.25">
      <c r="A4" s="3" t="s">
        <v>1</v>
      </c>
      <c r="B4" s="4" t="s">
        <v>1215</v>
      </c>
    </row>
    <row r="5" spans="1:2" x14ac:dyDescent="0.25">
      <c r="A5" s="3" t="s">
        <v>2</v>
      </c>
      <c r="B5" s="4" t="s">
        <v>1228</v>
      </c>
    </row>
    <row r="6" spans="1:2" x14ac:dyDescent="0.25">
      <c r="A6" s="3" t="s">
        <v>3</v>
      </c>
      <c r="B6" s="5">
        <v>2018</v>
      </c>
    </row>
    <row r="7" spans="1:2" x14ac:dyDescent="0.25">
      <c r="A7" s="18" t="s">
        <v>19</v>
      </c>
      <c r="B7" s="19">
        <v>3.5200000000000002E-2</v>
      </c>
    </row>
    <row r="8" spans="1:2" x14ac:dyDescent="0.25">
      <c r="A8" s="18" t="s">
        <v>25</v>
      </c>
      <c r="B8" s="19">
        <v>2.5000000000000001E-2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73"/>
  <sheetViews>
    <sheetView workbookViewId="0">
      <selection activeCell="B173" sqref="B173"/>
    </sheetView>
  </sheetViews>
  <sheetFormatPr defaultRowHeight="15" x14ac:dyDescent="0.25"/>
  <cols>
    <col min="1" max="1" width="33.5703125" bestFit="1" customWidth="1"/>
    <col min="2" max="2" width="12" customWidth="1"/>
  </cols>
  <sheetData>
    <row r="1" spans="1:1" ht="21" customHeight="1" x14ac:dyDescent="0.25">
      <c r="A1" s="2" t="s">
        <v>639</v>
      </c>
    </row>
    <row r="2" spans="1:1" ht="16.5" customHeight="1" x14ac:dyDescent="0.25">
      <c r="A2" s="88" t="s">
        <v>640</v>
      </c>
    </row>
    <row r="3" spans="1:1" x14ac:dyDescent="0.25">
      <c r="A3" s="44"/>
    </row>
    <row r="4" spans="1:1" x14ac:dyDescent="0.25">
      <c r="A4" s="64" t="s">
        <v>601</v>
      </c>
    </row>
    <row r="36" spans="1:2" x14ac:dyDescent="0.25">
      <c r="A36" s="6" t="s">
        <v>641</v>
      </c>
      <c r="B36" s="51">
        <v>15284752.539999999</v>
      </c>
    </row>
    <row r="38" spans="1:2" x14ac:dyDescent="0.25">
      <c r="A38" s="64" t="s">
        <v>602</v>
      </c>
    </row>
    <row r="68" spans="1:2" x14ac:dyDescent="0.25">
      <c r="A68" s="6" t="s">
        <v>642</v>
      </c>
      <c r="B68" s="51">
        <v>2661266.75</v>
      </c>
    </row>
    <row r="70" spans="1:2" x14ac:dyDescent="0.25">
      <c r="A70" s="64" t="s">
        <v>643</v>
      </c>
    </row>
    <row r="102" spans="1:2" x14ac:dyDescent="0.25">
      <c r="A102" s="6" t="s">
        <v>644</v>
      </c>
      <c r="B102" s="51">
        <v>19343482.530000001</v>
      </c>
    </row>
    <row r="104" spans="1:2" x14ac:dyDescent="0.25">
      <c r="A104" s="64" t="s">
        <v>600</v>
      </c>
    </row>
    <row r="173" spans="1:2" x14ac:dyDescent="0.25">
      <c r="A173" s="6" t="s">
        <v>645</v>
      </c>
      <c r="B173" s="51">
        <f>21355324.85+996593.62</f>
        <v>22351918.470000003</v>
      </c>
    </row>
  </sheetData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L12"/>
  <sheetViews>
    <sheetView zoomScale="120" zoomScaleNormal="120" workbookViewId="0">
      <selection activeCell="A3" sqref="A3"/>
    </sheetView>
  </sheetViews>
  <sheetFormatPr defaultRowHeight="15" x14ac:dyDescent="0.25"/>
  <cols>
    <col min="1" max="1" width="61.42578125" customWidth="1"/>
    <col min="2" max="2" width="12.7109375" customWidth="1"/>
    <col min="3" max="12" width="15.28515625" bestFit="1" customWidth="1"/>
  </cols>
  <sheetData>
    <row r="2" spans="1:12" ht="20.25" customHeight="1" x14ac:dyDescent="0.25">
      <c r="A2" s="2" t="s">
        <v>1236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1:12" x14ac:dyDescent="0.25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2" x14ac:dyDescent="0.25">
      <c r="A5" s="195" t="s">
        <v>1112</v>
      </c>
      <c r="B5" s="7" t="s">
        <v>7</v>
      </c>
      <c r="C5" s="91" t="s">
        <v>8</v>
      </c>
      <c r="D5" s="91" t="s">
        <v>9</v>
      </c>
      <c r="E5" s="91" t="s">
        <v>10</v>
      </c>
      <c r="F5" s="91" t="s">
        <v>11</v>
      </c>
      <c r="G5" s="91" t="s">
        <v>12</v>
      </c>
      <c r="H5" s="91" t="s">
        <v>13</v>
      </c>
      <c r="I5" s="91" t="s">
        <v>14</v>
      </c>
      <c r="J5" s="91" t="s">
        <v>15</v>
      </c>
      <c r="K5" s="91" t="s">
        <v>16</v>
      </c>
      <c r="L5" s="91" t="s">
        <v>17</v>
      </c>
    </row>
    <row r="6" spans="1:12" x14ac:dyDescent="0.25">
      <c r="A6" s="195"/>
      <c r="B6" s="7">
        <f>BASE_YR</f>
        <v>2018</v>
      </c>
      <c r="C6" s="91">
        <f>B6+1</f>
        <v>2019</v>
      </c>
      <c r="D6" s="91">
        <f t="shared" ref="D6:L6" si="0">C6+1</f>
        <v>2020</v>
      </c>
      <c r="E6" s="91">
        <f t="shared" si="0"/>
        <v>2021</v>
      </c>
      <c r="F6" s="91">
        <f t="shared" si="0"/>
        <v>2022</v>
      </c>
      <c r="G6" s="91">
        <f t="shared" si="0"/>
        <v>2023</v>
      </c>
      <c r="H6" s="91">
        <f t="shared" si="0"/>
        <v>2024</v>
      </c>
      <c r="I6" s="91">
        <f t="shared" si="0"/>
        <v>2025</v>
      </c>
      <c r="J6" s="91">
        <f t="shared" si="0"/>
        <v>2026</v>
      </c>
      <c r="K6" s="91">
        <f t="shared" si="0"/>
        <v>2027</v>
      </c>
      <c r="L6" s="91">
        <f t="shared" si="0"/>
        <v>2028</v>
      </c>
    </row>
    <row r="7" spans="1:12" ht="7.5" customHeight="1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2" ht="30" customHeight="1" x14ac:dyDescent="0.25">
      <c r="A8" s="132" t="s">
        <v>1113</v>
      </c>
      <c r="B8" s="133">
        <f>ABS('Balance Sheet'!B46-'Balance Sheet'!B51)</f>
        <v>0</v>
      </c>
      <c r="C8" s="133">
        <f>ABS('Balance Sheet'!C46-'Balance Sheet'!C51)</f>
        <v>0</v>
      </c>
      <c r="D8" s="133">
        <f>ABS('Balance Sheet'!D46-'Balance Sheet'!D51)</f>
        <v>0</v>
      </c>
      <c r="E8" s="133">
        <f>ABS('Balance Sheet'!E46-'Balance Sheet'!E51)</f>
        <v>0</v>
      </c>
      <c r="F8" s="133">
        <f>ABS('Balance Sheet'!F46-'Balance Sheet'!F51)</f>
        <v>0</v>
      </c>
      <c r="G8" s="133">
        <f>ABS('Balance Sheet'!G46-'Balance Sheet'!G51)</f>
        <v>0</v>
      </c>
      <c r="H8" s="133">
        <f>ABS('Balance Sheet'!H46-'Balance Sheet'!H51)</f>
        <v>0</v>
      </c>
      <c r="I8" s="133">
        <f>ABS('Balance Sheet'!I46-'Balance Sheet'!I51)</f>
        <v>0</v>
      </c>
      <c r="J8" s="133">
        <f>ABS('Balance Sheet'!J46-'Balance Sheet'!J51)</f>
        <v>0</v>
      </c>
      <c r="K8" s="133">
        <f>ABS('Balance Sheet'!K46-'Balance Sheet'!K51)</f>
        <v>0</v>
      </c>
      <c r="L8" s="133">
        <f>ABS('Balance Sheet'!L46-'Balance Sheet'!L51)</f>
        <v>0</v>
      </c>
    </row>
    <row r="9" spans="1:12" ht="7.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2" ht="30" customHeight="1" x14ac:dyDescent="0.25">
      <c r="A10" s="132" t="s">
        <v>1114</v>
      </c>
      <c r="B10" s="134" t="s">
        <v>1115</v>
      </c>
      <c r="C10" s="135">
        <f>ABS('Balance Sheet'!C49-'Balance Sheet'!B49-'Income Statement'!C39)</f>
        <v>0.13544964790344238</v>
      </c>
      <c r="D10" s="135">
        <f>ABS('Balance Sheet'!D49-'Balance Sheet'!C49-'Income Statement'!D39)</f>
        <v>0.23455047607421875</v>
      </c>
      <c r="E10" s="135">
        <f>ABS('Balance Sheet'!E49-'Balance Sheet'!D49-'Income Statement'!E39)</f>
        <v>1.7881393432617188E-7</v>
      </c>
      <c r="F10" s="135">
        <f>ABS('Balance Sheet'!F49-'Balance Sheet'!E49-'Income Statement'!F39)</f>
        <v>5.9604644775390625E-8</v>
      </c>
      <c r="G10" s="135">
        <f>ABS('Balance Sheet'!G49-'Balance Sheet'!F49-'Income Statement'!G39)</f>
        <v>5.9604644775390625E-8</v>
      </c>
      <c r="H10" s="135">
        <f>ABS('Balance Sheet'!H49-'Balance Sheet'!G49-'Income Statement'!H39)</f>
        <v>3.8743019104003906E-7</v>
      </c>
      <c r="I10" s="135">
        <f>ABS('Balance Sheet'!I49-'Balance Sheet'!H49-'Income Statement'!I39)</f>
        <v>4.4703483581542969E-7</v>
      </c>
      <c r="J10" s="135">
        <f>ABS('Balance Sheet'!J49-'Balance Sheet'!I49-'Income Statement'!J39)</f>
        <v>3.2782554626464844E-7</v>
      </c>
      <c r="K10" s="135">
        <f>ABS('Balance Sheet'!K49-'Balance Sheet'!J49-'Income Statement'!K39)</f>
        <v>1.4901161193847656E-7</v>
      </c>
      <c r="L10" s="135">
        <f>ABS('Balance Sheet'!L49-'Balance Sheet'!K49-'Income Statement'!L39)</f>
        <v>2.384185791015625E-7</v>
      </c>
    </row>
    <row r="12" spans="1:12" x14ac:dyDescent="0.25">
      <c r="C12" s="194"/>
      <c r="D12" s="194"/>
      <c r="E12" s="194"/>
      <c r="F12" s="194"/>
      <c r="G12" s="194"/>
      <c r="H12" s="194"/>
      <c r="I12" s="194"/>
      <c r="J12" s="194"/>
      <c r="K12" s="194"/>
      <c r="L12" s="194"/>
    </row>
  </sheetData>
  <mergeCells count="1">
    <mergeCell ref="A5:A6"/>
  </mergeCells>
  <conditionalFormatting sqref="B8:L8">
    <cfRule type="iconSet" priority="2">
      <iconSet iconSet="3Symbols2" reverse="1">
        <cfvo type="percent" val="0"/>
        <cfvo type="num" val="0" gte="0"/>
        <cfvo type="num" val="0" gte="0"/>
      </iconSet>
    </cfRule>
  </conditionalFormatting>
  <conditionalFormatting sqref="C10:L10">
    <cfRule type="iconSet" priority="1">
      <iconSet iconSet="3Symbols2" reverse="1">
        <cfvo type="percent" val="0"/>
        <cfvo type="num" val="0.5"/>
        <cfvo type="num" val="0.5"/>
      </iconSet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52"/>
  <sheetViews>
    <sheetView zoomScale="115" zoomScaleNormal="115" workbookViewId="0">
      <pane xSplit="1" ySplit="7" topLeftCell="B8" activePane="bottomRight" state="frozen"/>
      <selection activeCell="C13" sqref="C13"/>
      <selection pane="topRight" activeCell="C13" sqref="C13"/>
      <selection pane="bottomLeft" activeCell="C13" sqref="C13"/>
      <selection pane="bottomRight" activeCell="N42" sqref="N42"/>
    </sheetView>
  </sheetViews>
  <sheetFormatPr defaultColWidth="9.140625" defaultRowHeight="15" x14ac:dyDescent="0.25"/>
  <cols>
    <col min="1" max="1" width="61.42578125" style="44" customWidth="1"/>
    <col min="2" max="2" width="10.140625" style="44" hidden="1" customWidth="1"/>
    <col min="3" max="12" width="12.7109375" style="44" customWidth="1"/>
    <col min="13" max="16384" width="9.140625" style="44"/>
  </cols>
  <sheetData>
    <row r="1" spans="1:14" ht="21" customHeight="1" x14ac:dyDescent="0.25">
      <c r="A1" s="171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4" ht="21" customHeight="1" x14ac:dyDescent="0.25">
      <c r="A2" s="171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4" ht="18" customHeight="1" x14ac:dyDescent="0.25">
      <c r="A3" s="1" t="s">
        <v>885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4" x14ac:dyDescent="0.25">
      <c r="A5" s="6"/>
      <c r="B5" s="7" t="s">
        <v>7</v>
      </c>
      <c r="C5" s="170" t="s">
        <v>8</v>
      </c>
      <c r="D5" s="170" t="s">
        <v>9</v>
      </c>
      <c r="E5" s="170" t="s">
        <v>10</v>
      </c>
      <c r="F5" s="170" t="s">
        <v>11</v>
      </c>
      <c r="G5" s="170" t="s">
        <v>12</v>
      </c>
      <c r="H5" s="170" t="s">
        <v>13</v>
      </c>
      <c r="I5" s="170" t="s">
        <v>14</v>
      </c>
      <c r="J5" s="170" t="s">
        <v>15</v>
      </c>
      <c r="K5" s="170" t="s">
        <v>16</v>
      </c>
      <c r="L5" s="170" t="s">
        <v>17</v>
      </c>
    </row>
    <row r="6" spans="1:14" x14ac:dyDescent="0.25">
      <c r="A6" s="6"/>
      <c r="B6" s="7">
        <f>BASE_YR</f>
        <v>2018</v>
      </c>
      <c r="C6" s="170">
        <f>B6+1</f>
        <v>2019</v>
      </c>
      <c r="D6" s="170">
        <f t="shared" ref="D6:L6" si="0">C6+1</f>
        <v>2020</v>
      </c>
      <c r="E6" s="170">
        <f t="shared" si="0"/>
        <v>2021</v>
      </c>
      <c r="F6" s="170">
        <f t="shared" si="0"/>
        <v>2022</v>
      </c>
      <c r="G6" s="170">
        <f t="shared" si="0"/>
        <v>2023</v>
      </c>
      <c r="H6" s="170">
        <f t="shared" si="0"/>
        <v>2024</v>
      </c>
      <c r="I6" s="170">
        <f t="shared" si="0"/>
        <v>2025</v>
      </c>
      <c r="J6" s="170">
        <f t="shared" si="0"/>
        <v>2026</v>
      </c>
      <c r="K6" s="170">
        <f t="shared" si="0"/>
        <v>2027</v>
      </c>
      <c r="L6" s="170">
        <f t="shared" si="0"/>
        <v>2028</v>
      </c>
    </row>
    <row r="7" spans="1:14" x14ac:dyDescent="0.25">
      <c r="A7" s="6"/>
      <c r="B7" s="7" t="s">
        <v>864</v>
      </c>
      <c r="C7" s="170" t="s">
        <v>864</v>
      </c>
      <c r="D7" s="170" t="s">
        <v>864</v>
      </c>
      <c r="E7" s="170" t="s">
        <v>864</v>
      </c>
      <c r="F7" s="170" t="s">
        <v>864</v>
      </c>
      <c r="G7" s="170" t="s">
        <v>864</v>
      </c>
      <c r="H7" s="170" t="s">
        <v>864</v>
      </c>
      <c r="I7" s="170" t="s">
        <v>864</v>
      </c>
      <c r="J7" s="170" t="s">
        <v>864</v>
      </c>
      <c r="K7" s="170" t="s">
        <v>864</v>
      </c>
      <c r="L7" s="170" t="s">
        <v>864</v>
      </c>
    </row>
    <row r="8" spans="1:14" x14ac:dyDescent="0.25">
      <c r="A8" s="172" t="s">
        <v>886</v>
      </c>
    </row>
    <row r="9" spans="1:14" x14ac:dyDescent="0.25">
      <c r="A9" s="173" t="s">
        <v>887</v>
      </c>
    </row>
    <row r="10" spans="1:14" x14ac:dyDescent="0.25">
      <c r="A10" s="6" t="s">
        <v>888</v>
      </c>
      <c r="B10" s="108">
        <f>'Note 6 to 8'!B15</f>
        <v>2809582.3629457382</v>
      </c>
      <c r="C10" s="108">
        <f>'Note 6 to 8'!C15</f>
        <v>1985128.5099415034</v>
      </c>
      <c r="D10" s="108">
        <f>'Note 6 to 8'!D15</f>
        <v>1656578.6876689203</v>
      </c>
      <c r="E10" s="108">
        <f>'Note 6 to 8'!E15</f>
        <v>1850683.1557116779</v>
      </c>
      <c r="F10" s="108">
        <f>'Note 6 to 8'!F15</f>
        <v>1726707.2992825685</v>
      </c>
      <c r="G10" s="108">
        <f>'Note 6 to 8'!G15</f>
        <v>1356923.0286302217</v>
      </c>
      <c r="H10" s="108">
        <f>'Note 6 to 8'!H15</f>
        <v>1202693.1847499413</v>
      </c>
      <c r="I10" s="108">
        <f>'Note 6 to 8'!I15</f>
        <v>1329781.5498349695</v>
      </c>
      <c r="J10" s="108">
        <f>'Note 6 to 8'!J15</f>
        <v>1289684.063664556</v>
      </c>
      <c r="K10" s="108">
        <f>'Note 6 to 8'!K15</f>
        <v>1926483.9736406407</v>
      </c>
      <c r="L10" s="108">
        <f>'Note 6 to 8'!L15</f>
        <v>1979154.440006406</v>
      </c>
      <c r="N10" s="111"/>
    </row>
    <row r="11" spans="1:14" x14ac:dyDescent="0.25">
      <c r="A11" s="6" t="s">
        <v>889</v>
      </c>
      <c r="B11" s="108">
        <f>'Note 6 to 8'!B21</f>
        <v>38320082.637054265</v>
      </c>
      <c r="C11" s="108">
        <f>'Note 6 to 8'!C21</f>
        <v>34320082.637054265</v>
      </c>
      <c r="D11" s="108">
        <f>'Note 6 to 8'!D21</f>
        <v>33320082.637054265</v>
      </c>
      <c r="E11" s="108">
        <f>'Note 6 to 8'!E21</f>
        <v>31320082.637054265</v>
      </c>
      <c r="F11" s="108">
        <f>'Note 6 to 8'!F21</f>
        <v>31820082.637054265</v>
      </c>
      <c r="G11" s="108">
        <f>'Note 6 to 8'!G21</f>
        <v>32820082.637054265</v>
      </c>
      <c r="H11" s="108">
        <f>'Note 6 to 8'!H21</f>
        <v>34320082.637054265</v>
      </c>
      <c r="I11" s="108">
        <f>'Note 6 to 8'!I21</f>
        <v>36320082.637054265</v>
      </c>
      <c r="J11" s="108">
        <f>'Note 6 to 8'!J21</f>
        <v>38320082.637054265</v>
      </c>
      <c r="K11" s="108">
        <f>'Note 6 to 8'!K21</f>
        <v>38820082.637054265</v>
      </c>
      <c r="L11" s="108">
        <f>'Note 6 to 8'!L21</f>
        <v>40320082.637054265</v>
      </c>
      <c r="N11" s="111"/>
    </row>
    <row r="12" spans="1:14" x14ac:dyDescent="0.25">
      <c r="A12" s="6" t="s">
        <v>890</v>
      </c>
      <c r="B12" s="108">
        <f>'Note 6 to 8'!B84</f>
        <v>7636064.4199999999</v>
      </c>
      <c r="C12" s="108">
        <f>'Note 6 to 8'!C84</f>
        <v>8006832.6110146567</v>
      </c>
      <c r="D12" s="108">
        <f>'Note 6 to 8'!D84</f>
        <v>8312921.9134099605</v>
      </c>
      <c r="E12" s="108">
        <f>'Note 6 to 8'!E84</f>
        <v>8668245.8847664967</v>
      </c>
      <c r="F12" s="108">
        <f>'Note 6 to 8'!F84</f>
        <v>8936404.2154049929</v>
      </c>
      <c r="G12" s="108">
        <f>'Note 6 to 8'!G84</f>
        <v>9229771.6594265085</v>
      </c>
      <c r="H12" s="108">
        <f>'Note 6 to 8'!H84</f>
        <v>9553929.8072327841</v>
      </c>
      <c r="I12" s="108">
        <f>'Note 6 to 8'!I84</f>
        <v>9867329.1735087056</v>
      </c>
      <c r="J12" s="108">
        <f>'Note 6 to 8'!J84</f>
        <v>10208923.775248779</v>
      </c>
      <c r="K12" s="108">
        <f>'Note 6 to 8'!K84</f>
        <v>10555061.327540338</v>
      </c>
      <c r="L12" s="108">
        <f>'Note 6 to 8'!L84</f>
        <v>10884282.200924121</v>
      </c>
      <c r="N12" s="111"/>
    </row>
    <row r="13" spans="1:14" x14ac:dyDescent="0.25">
      <c r="A13" s="6" t="s">
        <v>811</v>
      </c>
      <c r="B13" s="108">
        <f>'Note 6 to 8'!B107</f>
        <v>573278</v>
      </c>
      <c r="C13" s="108">
        <f>'Note 6 to 8'!C107</f>
        <v>587609.95000000007</v>
      </c>
      <c r="D13" s="108">
        <f>'Note 6 to 8'!D107</f>
        <v>602300.19875000021</v>
      </c>
      <c r="E13" s="108">
        <f>'Note 6 to 8'!E107</f>
        <v>617357.70371875027</v>
      </c>
      <c r="F13" s="108">
        <f>'Note 6 to 8'!F107</f>
        <v>632791.64631171909</v>
      </c>
      <c r="G13" s="108">
        <f>'Note 6 to 8'!G107</f>
        <v>648611.43746951222</v>
      </c>
      <c r="H13" s="108">
        <f>'Note 6 to 8'!H107</f>
        <v>664826.72340625012</v>
      </c>
      <c r="I13" s="108">
        <f>'Note 6 to 8'!I107</f>
        <v>681447.39149140636</v>
      </c>
      <c r="J13" s="108">
        <f>'Note 6 to 8'!J107</f>
        <v>698483.57627869165</v>
      </c>
      <c r="K13" s="108">
        <f>'Note 6 to 8'!K107</f>
        <v>715945.66568565904</v>
      </c>
      <c r="L13" s="108">
        <f>'Note 6 to 8'!L107</f>
        <v>733844.30732780066</v>
      </c>
      <c r="N13" s="111"/>
    </row>
    <row r="14" spans="1:14" x14ac:dyDescent="0.25">
      <c r="A14" s="6" t="s">
        <v>522</v>
      </c>
      <c r="B14" s="108">
        <f>'Note 6 to 8'!B111</f>
        <v>823852</v>
      </c>
      <c r="C14" s="108">
        <f>'Note 6 to 8'!C111</f>
        <v>854129.96357050969</v>
      </c>
      <c r="D14" s="108">
        <f>'Note 6 to 8'!D111</f>
        <v>885520.69384908967</v>
      </c>
      <c r="E14" s="108">
        <f>'Note 6 to 8'!E111</f>
        <v>918065.08690669609</v>
      </c>
      <c r="F14" s="108">
        <f>'Note 6 to 8'!F111</f>
        <v>951805.54181451665</v>
      </c>
      <c r="G14" s="108">
        <f>'Note 6 to 8'!G111</f>
        <v>986786.0158817874</v>
      </c>
      <c r="H14" s="108">
        <f>'Note 6 to 8'!H111</f>
        <v>1023052.0819236943</v>
      </c>
      <c r="I14" s="108">
        <f>'Note 6 to 8'!I111</f>
        <v>1060650.9876339673</v>
      </c>
      <c r="J14" s="108">
        <f>'Note 6 to 8'!J111</f>
        <v>1099631.7171395174</v>
      </c>
      <c r="K14" s="108">
        <f>'Note 6 to 8'!K111</f>
        <v>1140045.0548173131</v>
      </c>
      <c r="L14" s="108">
        <f>'Note 6 to 8'!L111</f>
        <v>1181943.6514566347</v>
      </c>
      <c r="N14" s="111"/>
    </row>
    <row r="15" spans="1:14" hidden="1" x14ac:dyDescent="0.25">
      <c r="A15" s="6" t="s">
        <v>1231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N15" s="111"/>
    </row>
    <row r="16" spans="1:14" x14ac:dyDescent="0.25">
      <c r="A16" s="174" t="s">
        <v>891</v>
      </c>
      <c r="B16" s="175">
        <f>SUBTOTAL(9,B10:B15)</f>
        <v>50162859.420000002</v>
      </c>
      <c r="C16" s="175">
        <f t="shared" ref="C16:L16" si="1">SUBTOTAL(9,C10:C15)</f>
        <v>45753783.67158094</v>
      </c>
      <c r="D16" s="175">
        <f t="shared" si="1"/>
        <v>44777404.130732231</v>
      </c>
      <c r="E16" s="175">
        <f t="shared" si="1"/>
        <v>43374434.46815788</v>
      </c>
      <c r="F16" s="175">
        <f t="shared" si="1"/>
        <v>44067791.339868061</v>
      </c>
      <c r="G16" s="175">
        <f t="shared" si="1"/>
        <v>45042174.778462291</v>
      </c>
      <c r="H16" s="175">
        <f t="shared" si="1"/>
        <v>46764584.434366927</v>
      </c>
      <c r="I16" s="175">
        <f t="shared" si="1"/>
        <v>49259291.739523306</v>
      </c>
      <c r="J16" s="175">
        <f t="shared" si="1"/>
        <v>51616805.769385815</v>
      </c>
      <c r="K16" s="175">
        <f t="shared" si="1"/>
        <v>53157618.658738218</v>
      </c>
      <c r="L16" s="175">
        <f t="shared" si="1"/>
        <v>55099307.236769222</v>
      </c>
      <c r="N16" s="111"/>
    </row>
    <row r="17" spans="1:14" x14ac:dyDescent="0.25">
      <c r="N17" s="111"/>
    </row>
    <row r="18" spans="1:14" x14ac:dyDescent="0.25">
      <c r="A18" s="173" t="s">
        <v>892</v>
      </c>
      <c r="N18" s="111"/>
    </row>
    <row r="19" spans="1:14" x14ac:dyDescent="0.25">
      <c r="A19" s="6" t="s">
        <v>889</v>
      </c>
      <c r="B19" s="108">
        <v>0</v>
      </c>
      <c r="C19" s="111">
        <v>0</v>
      </c>
      <c r="D19" s="111">
        <v>0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N19" s="111"/>
    </row>
    <row r="20" spans="1:14" x14ac:dyDescent="0.25">
      <c r="A20" s="6" t="s">
        <v>890</v>
      </c>
      <c r="B20" s="108">
        <f>'Note 6 to 8'!B89</f>
        <v>448346.99</v>
      </c>
      <c r="C20" s="108">
        <f>'Note 6 to 8'!C89</f>
        <v>485192.55083087424</v>
      </c>
      <c r="D20" s="108">
        <f>'Note 6 to 8'!D89</f>
        <v>514763.90969228523</v>
      </c>
      <c r="E20" s="108">
        <f>'Note 6 to 8'!E89</f>
        <v>546120.66573299118</v>
      </c>
      <c r="F20" s="108">
        <f>'Note 6 to 8'!F89</f>
        <v>562876.93457292346</v>
      </c>
      <c r="G20" s="108">
        <f>'Note 6 to 8'!G89</f>
        <v>580129.25308503595</v>
      </c>
      <c r="H20" s="108">
        <f>'Note 6 to 8'!H89</f>
        <v>597891.94271210593</v>
      </c>
      <c r="I20" s="108">
        <f>'Note 6 to 8'!I89</f>
        <v>616179.73076335457</v>
      </c>
      <c r="J20" s="108">
        <f>'Note 6 to 8'!J89</f>
        <v>635007.76175313501</v>
      </c>
      <c r="K20" s="108">
        <f>'Note 6 to 8'!K89</f>
        <v>654391.60905280535</v>
      </c>
      <c r="L20" s="108">
        <f>'Note 6 to 8'!L89</f>
        <v>674347.2868643594</v>
      </c>
      <c r="N20" s="111"/>
    </row>
    <row r="21" spans="1:14" x14ac:dyDescent="0.25">
      <c r="A21" s="6" t="s">
        <v>811</v>
      </c>
      <c r="B21" s="108">
        <v>0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N21" s="111"/>
    </row>
    <row r="22" spans="1:14" x14ac:dyDescent="0.25">
      <c r="A22" s="6" t="s">
        <v>893</v>
      </c>
      <c r="B22" s="108">
        <f>'Note 9'!C21</f>
        <v>1505043034.1688211</v>
      </c>
      <c r="C22" s="108">
        <f>'Note 9'!D21</f>
        <v>1573194152.4860656</v>
      </c>
      <c r="D22" s="108">
        <f>'Note 9'!E21</f>
        <v>1611570911.8361456</v>
      </c>
      <c r="E22" s="108">
        <f>'Note 9'!F21</f>
        <v>1652479364.768558</v>
      </c>
      <c r="F22" s="108">
        <f>'Note 9'!G21</f>
        <v>1692442837.2542064</v>
      </c>
      <c r="G22" s="108">
        <f>'Note 9'!H21</f>
        <v>1732665061.2244482</v>
      </c>
      <c r="H22" s="108">
        <f>'Note 9'!I21</f>
        <v>1772943456.309</v>
      </c>
      <c r="I22" s="108">
        <f>'Note 9'!J21</f>
        <v>1812376461.1587358</v>
      </c>
      <c r="J22" s="108">
        <f>'Note 9'!K21</f>
        <v>1853385136.968226</v>
      </c>
      <c r="K22" s="108">
        <f>'Note 9'!L21</f>
        <v>1895569791.6737101</v>
      </c>
      <c r="L22" s="108">
        <f>'Note 9'!M21</f>
        <v>1937835086.7725227</v>
      </c>
      <c r="N22" s="111"/>
    </row>
    <row r="23" spans="1:14" x14ac:dyDescent="0.25">
      <c r="A23" s="6" t="s">
        <v>1232</v>
      </c>
      <c r="B23" s="108">
        <v>7000</v>
      </c>
      <c r="C23" s="108">
        <v>7000</v>
      </c>
      <c r="D23" s="108">
        <v>7000</v>
      </c>
      <c r="E23" s="108">
        <v>7000</v>
      </c>
      <c r="F23" s="108">
        <v>7000</v>
      </c>
      <c r="G23" s="108">
        <v>7000</v>
      </c>
      <c r="H23" s="108">
        <v>7000</v>
      </c>
      <c r="I23" s="108">
        <v>7000</v>
      </c>
      <c r="J23" s="108">
        <v>7000</v>
      </c>
      <c r="K23" s="108">
        <v>7000</v>
      </c>
      <c r="L23" s="108">
        <v>7000</v>
      </c>
      <c r="N23" s="111"/>
    </row>
    <row r="24" spans="1:14" hidden="1" x14ac:dyDescent="0.25">
      <c r="A24" s="6" t="s">
        <v>894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N24" s="111"/>
    </row>
    <row r="25" spans="1:14" hidden="1" x14ac:dyDescent="0.25">
      <c r="A25" s="6" t="s">
        <v>895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N25" s="111"/>
    </row>
    <row r="26" spans="1:14" x14ac:dyDescent="0.25">
      <c r="A26" s="6" t="s">
        <v>522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N26" s="111"/>
    </row>
    <row r="27" spans="1:14" x14ac:dyDescent="0.25">
      <c r="A27" s="174" t="s">
        <v>896</v>
      </c>
      <c r="B27" s="175">
        <f>SUBTOTAL(9,B19:B26)</f>
        <v>1505498381.1588211</v>
      </c>
      <c r="C27" s="175">
        <f t="shared" ref="C27:L27" si="2">SUBTOTAL(9,C19:C26)</f>
        <v>1573686345.0368965</v>
      </c>
      <c r="D27" s="175">
        <f t="shared" si="2"/>
        <v>1612092675.7458379</v>
      </c>
      <c r="E27" s="175">
        <f t="shared" si="2"/>
        <v>1653032485.4342911</v>
      </c>
      <c r="F27" s="175">
        <f t="shared" si="2"/>
        <v>1693012714.1887794</v>
      </c>
      <c r="G27" s="175">
        <f t="shared" si="2"/>
        <v>1733252190.4775333</v>
      </c>
      <c r="H27" s="175">
        <f t="shared" si="2"/>
        <v>1773548348.2517121</v>
      </c>
      <c r="I27" s="175">
        <f t="shared" si="2"/>
        <v>1812999640.8894992</v>
      </c>
      <c r="J27" s="175">
        <f t="shared" si="2"/>
        <v>1854027144.729979</v>
      </c>
      <c r="K27" s="175">
        <f t="shared" si="2"/>
        <v>1896231183.282763</v>
      </c>
      <c r="L27" s="175">
        <f t="shared" si="2"/>
        <v>1938516434.059387</v>
      </c>
      <c r="N27" s="111"/>
    </row>
    <row r="28" spans="1:14" x14ac:dyDescent="0.25">
      <c r="N28" s="111"/>
    </row>
    <row r="29" spans="1:14" ht="18" customHeight="1" thickBot="1" x14ac:dyDescent="0.3">
      <c r="A29" s="172" t="s">
        <v>897</v>
      </c>
      <c r="B29" s="176">
        <f>B16+B27</f>
        <v>1555661240.5788212</v>
      </c>
      <c r="C29" s="176">
        <f t="shared" ref="C29:L29" si="3">C16+C27</f>
        <v>1619440128.7084775</v>
      </c>
      <c r="D29" s="176">
        <f t="shared" si="3"/>
        <v>1656870079.8765702</v>
      </c>
      <c r="E29" s="176">
        <f t="shared" si="3"/>
        <v>1696406919.9024489</v>
      </c>
      <c r="F29" s="176">
        <f t="shared" si="3"/>
        <v>1737080505.5286474</v>
      </c>
      <c r="G29" s="176">
        <f t="shared" si="3"/>
        <v>1778294365.2559958</v>
      </c>
      <c r="H29" s="176">
        <f t="shared" si="3"/>
        <v>1820312932.686079</v>
      </c>
      <c r="I29" s="176">
        <f t="shared" si="3"/>
        <v>1862258932.6290226</v>
      </c>
      <c r="J29" s="176">
        <f t="shared" si="3"/>
        <v>1905643950.4993649</v>
      </c>
      <c r="K29" s="176">
        <f t="shared" si="3"/>
        <v>1949388801.9415011</v>
      </c>
      <c r="L29" s="176">
        <f t="shared" si="3"/>
        <v>1993615741.2961562</v>
      </c>
      <c r="N29" s="111"/>
    </row>
    <row r="30" spans="1:14" x14ac:dyDescent="0.25">
      <c r="N30" s="111"/>
    </row>
    <row r="31" spans="1:14" x14ac:dyDescent="0.25">
      <c r="A31" s="172" t="s">
        <v>898</v>
      </c>
      <c r="N31" s="111"/>
    </row>
    <row r="32" spans="1:14" x14ac:dyDescent="0.25">
      <c r="A32" s="173" t="s">
        <v>899</v>
      </c>
      <c r="N32" s="111"/>
    </row>
    <row r="33" spans="1:14" x14ac:dyDescent="0.25">
      <c r="A33" s="6" t="s">
        <v>900</v>
      </c>
      <c r="B33" s="108">
        <f>-'Note 10 to 11'!B17</f>
        <v>20020380.68</v>
      </c>
      <c r="C33" s="108">
        <f>-'Note 10 to 11'!C17</f>
        <v>20723100.706722111</v>
      </c>
      <c r="D33" s="108">
        <f>-'Note 10 to 11'!D17</f>
        <v>21410400.152410906</v>
      </c>
      <c r="E33" s="108">
        <f>-'Note 10 to 11'!E17</f>
        <v>22122956.958062995</v>
      </c>
      <c r="F33" s="108">
        <f>-'Note 10 to 11'!F17</f>
        <v>22788745.101066895</v>
      </c>
      <c r="G33" s="108">
        <f>-'Note 10 to 11'!G17</f>
        <v>23475223.037488747</v>
      </c>
      <c r="H33" s="108">
        <f>-'Note 10 to 11'!H17</f>
        <v>24183055.313075177</v>
      </c>
      <c r="I33" s="108">
        <f>-'Note 10 to 11'!I17</f>
        <v>24912928.509440284</v>
      </c>
      <c r="J33" s="108">
        <f>-'Note 10 to 11'!J17</f>
        <v>25665551.996181048</v>
      </c>
      <c r="K33" s="108">
        <f>-'Note 10 to 11'!K17</f>
        <v>26441658.70930922</v>
      </c>
      <c r="L33" s="108">
        <f>-'Note 10 to 11'!L17</f>
        <v>27242005.956939679</v>
      </c>
      <c r="N33" s="111"/>
    </row>
    <row r="34" spans="1:14" x14ac:dyDescent="0.25">
      <c r="A34" s="6" t="s">
        <v>901</v>
      </c>
      <c r="B34" s="108">
        <f>'Note 10 to 11'!B24</f>
        <v>0</v>
      </c>
      <c r="C34" s="108">
        <f>-'Note 10 to 11'!C24</f>
        <v>2601242</v>
      </c>
      <c r="D34" s="108">
        <f>-'Note 10 to 11'!D24</f>
        <v>2601242</v>
      </c>
      <c r="E34" s="108">
        <f>-'Note 10 to 11'!E24</f>
        <v>2601242</v>
      </c>
      <c r="F34" s="108">
        <f>-'Note 10 to 11'!F24</f>
        <v>2601242</v>
      </c>
      <c r="G34" s="108">
        <f>-'Note 10 to 11'!G24</f>
        <v>2601242</v>
      </c>
      <c r="H34" s="108">
        <f>-'Note 10 to 11'!H24</f>
        <v>2601242</v>
      </c>
      <c r="I34" s="108">
        <f>-'Note 10 to 11'!I24</f>
        <v>2601242</v>
      </c>
      <c r="J34" s="108">
        <f>-'Note 10 to 11'!J24</f>
        <v>2601242</v>
      </c>
      <c r="K34" s="108">
        <f>-'Note 10 to 11'!K24</f>
        <v>2601242</v>
      </c>
      <c r="L34" s="108">
        <f>-'Note 10 to 11'!L24</f>
        <v>2601242</v>
      </c>
      <c r="N34" s="111"/>
    </row>
    <row r="35" spans="1:14" x14ac:dyDescent="0.25">
      <c r="A35" s="6" t="s">
        <v>902</v>
      </c>
      <c r="B35" s="108">
        <f>-'Note 10 to 11'!B34</f>
        <v>18267722.93</v>
      </c>
      <c r="C35" s="108">
        <f>-'Note 10 to 11'!C34</f>
        <v>18929725.517823104</v>
      </c>
      <c r="D35" s="108">
        <f>-'Note 10 to 11'!D34</f>
        <v>19618651.046923354</v>
      </c>
      <c r="E35" s="108">
        <f>-'Note 10 to 11'!E34</f>
        <v>20335594.444692802</v>
      </c>
      <c r="F35" s="108">
        <f>-'Note 10 to 11'!F34</f>
        <v>21081695.168056183</v>
      </c>
      <c r="G35" s="108">
        <f>-'Note 10 to 11'!G34</f>
        <v>21858139.01443968</v>
      </c>
      <c r="H35" s="108">
        <f>-'Note 10 to 11'!H34</f>
        <v>22666160.006389819</v>
      </c>
      <c r="I35" s="108">
        <f>-'Note 10 to 11'!I34</f>
        <v>23507042.352837853</v>
      </c>
      <c r="J35" s="108">
        <f>-'Note 10 to 11'!J34</f>
        <v>24382122.490126636</v>
      </c>
      <c r="K35" s="108">
        <f>-'Note 10 to 11'!K34</f>
        <v>25292791.20604394</v>
      </c>
      <c r="L35" s="108">
        <f>-'Note 10 to 11'!L34</f>
        <v>26240495.850237899</v>
      </c>
      <c r="N35" s="111"/>
    </row>
    <row r="36" spans="1:14" x14ac:dyDescent="0.25">
      <c r="A36" s="174" t="s">
        <v>1187</v>
      </c>
      <c r="B36" s="175">
        <f>SUBTOTAL(9,B33:B35)</f>
        <v>38288103.609999999</v>
      </c>
      <c r="C36" s="175">
        <f t="shared" ref="C36:L36" si="4">SUBTOTAL(9,C33:C35)</f>
        <v>42254068.224545211</v>
      </c>
      <c r="D36" s="175">
        <f t="shared" si="4"/>
        <v>43630293.199334264</v>
      </c>
      <c r="E36" s="175">
        <f t="shared" si="4"/>
        <v>45059793.402755797</v>
      </c>
      <c r="F36" s="175">
        <f t="shared" si="4"/>
        <v>46471682.269123077</v>
      </c>
      <c r="G36" s="175">
        <f t="shared" si="4"/>
        <v>47934604.051928431</v>
      </c>
      <c r="H36" s="175">
        <f t="shared" si="4"/>
        <v>49450457.319464996</v>
      </c>
      <c r="I36" s="175">
        <f t="shared" si="4"/>
        <v>51021212.862278134</v>
      </c>
      <c r="J36" s="175">
        <f t="shared" si="4"/>
        <v>52648916.486307681</v>
      </c>
      <c r="K36" s="175">
        <f t="shared" si="4"/>
        <v>54335691.915353164</v>
      </c>
      <c r="L36" s="175">
        <f t="shared" si="4"/>
        <v>56083743.807177573</v>
      </c>
      <c r="N36" s="111"/>
    </row>
    <row r="37" spans="1:14" x14ac:dyDescent="0.25">
      <c r="N37" s="111"/>
    </row>
    <row r="38" spans="1:14" x14ac:dyDescent="0.25">
      <c r="A38" s="173" t="s">
        <v>903</v>
      </c>
      <c r="N38" s="111"/>
    </row>
    <row r="39" spans="1:14" x14ac:dyDescent="0.25">
      <c r="A39" s="6" t="s">
        <v>900</v>
      </c>
      <c r="B39" s="108">
        <f>-'Note 10 to 11'!B21</f>
        <v>260000</v>
      </c>
      <c r="C39" s="108">
        <f>-'Note 10 to 11'!C21</f>
        <v>260000</v>
      </c>
      <c r="D39" s="108">
        <f>-'Note 10 to 11'!D21</f>
        <v>260000</v>
      </c>
      <c r="E39" s="108">
        <f>-'Note 10 to 11'!E21</f>
        <v>260000</v>
      </c>
      <c r="F39" s="108">
        <f>-'Note 10 to 11'!F21</f>
        <v>260000</v>
      </c>
      <c r="G39" s="108">
        <f>-'Note 10 to 11'!G21</f>
        <v>260000</v>
      </c>
      <c r="H39" s="108">
        <f>-'Note 10 to 11'!H21</f>
        <v>260000</v>
      </c>
      <c r="I39" s="108">
        <f>-'Note 10 to 11'!I21</f>
        <v>260000</v>
      </c>
      <c r="J39" s="108">
        <f>-'Note 10 to 11'!J21</f>
        <v>260000</v>
      </c>
      <c r="K39" s="108">
        <f>-'Note 10 to 11'!K21</f>
        <v>260000</v>
      </c>
      <c r="L39" s="108">
        <f>-'Note 10 to 11'!L21</f>
        <v>260000</v>
      </c>
      <c r="N39" s="111"/>
    </row>
    <row r="40" spans="1:14" x14ac:dyDescent="0.25">
      <c r="A40" s="6" t="s">
        <v>901</v>
      </c>
      <c r="B40" s="108">
        <f>'Note 10 to 11'!B24</f>
        <v>0</v>
      </c>
      <c r="C40" s="108">
        <f>25748758-C34</f>
        <v>23147516</v>
      </c>
      <c r="D40" s="108">
        <f>24434954.3808283-D34</f>
        <v>21833712.380828299</v>
      </c>
      <c r="E40" s="108">
        <f>23055460.3344201-E34</f>
        <v>20454218.3344201</v>
      </c>
      <c r="F40" s="108">
        <f>21606991.5856915-F34</f>
        <v>19005749.5856915</v>
      </c>
      <c r="G40" s="108">
        <f>20086099.3995265-G34</f>
        <v>17484857.399526499</v>
      </c>
      <c r="H40" s="108">
        <f>18489162.6040533-H34</f>
        <v>15887920.6040533</v>
      </c>
      <c r="I40" s="108">
        <f>16812378.9688063-I34</f>
        <v>14211136.9688063</v>
      </c>
      <c r="J40" s="108">
        <f>15051756.151797-J34</f>
        <v>12450514.151797</v>
      </c>
      <c r="K40" s="108">
        <f>13203102.1939373-K34</f>
        <v>10601860.1939373</v>
      </c>
      <c r="L40" s="108">
        <f>11262015.5381846-L34</f>
        <v>8660773.5381846</v>
      </c>
      <c r="N40" s="111"/>
    </row>
    <row r="41" spans="1:14" x14ac:dyDescent="0.25">
      <c r="A41" s="6" t="s">
        <v>902</v>
      </c>
      <c r="B41" s="108">
        <f>-'Note 10 to 11'!B37</f>
        <v>213621.72</v>
      </c>
      <c r="C41" s="108">
        <f>-'Note 10 to 11'!C37</f>
        <v>222309.48818833259</v>
      </c>
      <c r="D41" s="108">
        <f>-'Note 10 to 11'!D37</f>
        <v>231350.57867036361</v>
      </c>
      <c r="E41" s="108">
        <f>-'Note 10 to 11'!E37</f>
        <v>240759.36068805694</v>
      </c>
      <c r="F41" s="108">
        <f>-'Note 10 to 11'!F37</f>
        <v>250550.78786516699</v>
      </c>
      <c r="G41" s="108">
        <f>-'Note 10 to 11'!G37</f>
        <v>260740.42197342464</v>
      </c>
      <c r="H41" s="108">
        <f>-'Note 10 to 11'!H37</f>
        <v>271344.4576652688</v>
      </c>
      <c r="I41" s="108">
        <f>-'Note 10 to 11'!I37</f>
        <v>282379.74821243173</v>
      </c>
      <c r="J41" s="108">
        <f>-'Note 10 to 11'!J37</f>
        <v>293863.83229128539</v>
      </c>
      <c r="K41" s="108">
        <f>-'Note 10 to 11'!K37</f>
        <v>305814.96185751929</v>
      </c>
      <c r="L41" s="108">
        <f>-'Note 10 to 11'!L37</f>
        <v>318252.13115445175</v>
      </c>
      <c r="N41" s="111"/>
    </row>
    <row r="42" spans="1:14" x14ac:dyDescent="0.25">
      <c r="A42" s="174" t="s">
        <v>1188</v>
      </c>
      <c r="B42" s="175">
        <f>SUBTOTAL(9,B39:B41)</f>
        <v>473621.72</v>
      </c>
      <c r="C42" s="175">
        <f t="shared" ref="C42:L42" si="5">SUBTOTAL(9,C39:C41)</f>
        <v>23629825.488188334</v>
      </c>
      <c r="D42" s="175">
        <f t="shared" si="5"/>
        <v>22325062.959498663</v>
      </c>
      <c r="E42" s="175">
        <f t="shared" si="5"/>
        <v>20954977.695108157</v>
      </c>
      <c r="F42" s="175">
        <f t="shared" si="5"/>
        <v>19516300.373556666</v>
      </c>
      <c r="G42" s="175">
        <f t="shared" si="5"/>
        <v>18005597.821499925</v>
      </c>
      <c r="H42" s="175">
        <f t="shared" si="5"/>
        <v>16419265.061718568</v>
      </c>
      <c r="I42" s="175">
        <f t="shared" si="5"/>
        <v>14753516.717018733</v>
      </c>
      <c r="J42" s="175">
        <f t="shared" si="5"/>
        <v>13004377.984088285</v>
      </c>
      <c r="K42" s="175">
        <f t="shared" si="5"/>
        <v>11167675.15579482</v>
      </c>
      <c r="L42" s="175">
        <f t="shared" si="5"/>
        <v>9239025.6693390515</v>
      </c>
      <c r="N42" s="111"/>
    </row>
    <row r="43" spans="1:14" x14ac:dyDescent="0.25">
      <c r="N43" s="111"/>
    </row>
    <row r="44" spans="1:14" ht="18" customHeight="1" thickBot="1" x14ac:dyDescent="0.3">
      <c r="A44" s="172" t="s">
        <v>904</v>
      </c>
      <c r="B44" s="176">
        <f>B36+B42</f>
        <v>38761725.329999998</v>
      </c>
      <c r="C44" s="176">
        <f t="shared" ref="C44:L44" si="6">C36+C42</f>
        <v>65883893.712733544</v>
      </c>
      <c r="D44" s="176">
        <f t="shared" si="6"/>
        <v>65955356.158832923</v>
      </c>
      <c r="E44" s="176">
        <f t="shared" si="6"/>
        <v>66014771.097863957</v>
      </c>
      <c r="F44" s="176">
        <f t="shared" si="6"/>
        <v>65987982.642679743</v>
      </c>
      <c r="G44" s="176">
        <f t="shared" si="6"/>
        <v>65940201.87342836</v>
      </c>
      <c r="H44" s="176">
        <f t="shared" si="6"/>
        <v>65869722.381183565</v>
      </c>
      <c r="I44" s="176">
        <f t="shared" si="6"/>
        <v>65774729.579296865</v>
      </c>
      <c r="J44" s="176">
        <f t="shared" si="6"/>
        <v>65653294.470395967</v>
      </c>
      <c r="K44" s="176">
        <f t="shared" si="6"/>
        <v>65503367.071147986</v>
      </c>
      <c r="L44" s="176">
        <f t="shared" si="6"/>
        <v>65322769.476516627</v>
      </c>
      <c r="N44" s="111"/>
    </row>
    <row r="45" spans="1:14" x14ac:dyDescent="0.25">
      <c r="N45" s="111"/>
    </row>
    <row r="46" spans="1:14" ht="18.75" customHeight="1" thickBot="1" x14ac:dyDescent="0.3">
      <c r="A46" s="177" t="s">
        <v>905</v>
      </c>
      <c r="B46" s="178">
        <f>B29-B44</f>
        <v>1516899515.2488213</v>
      </c>
      <c r="C46" s="178">
        <f t="shared" ref="C46:L46" si="7">C29-C44</f>
        <v>1553556234.995744</v>
      </c>
      <c r="D46" s="178">
        <f t="shared" si="7"/>
        <v>1590914723.7177372</v>
      </c>
      <c r="E46" s="178">
        <f t="shared" si="7"/>
        <v>1630392148.804585</v>
      </c>
      <c r="F46" s="178">
        <f t="shared" si="7"/>
        <v>1671092522.8859677</v>
      </c>
      <c r="G46" s="178">
        <f t="shared" si="7"/>
        <v>1712354163.3825674</v>
      </c>
      <c r="H46" s="178">
        <f t="shared" si="7"/>
        <v>1754443210.3048954</v>
      </c>
      <c r="I46" s="178">
        <f t="shared" si="7"/>
        <v>1796484203.0497258</v>
      </c>
      <c r="J46" s="178">
        <f t="shared" si="7"/>
        <v>1839990656.0289688</v>
      </c>
      <c r="K46" s="178">
        <f t="shared" si="7"/>
        <v>1883885434.8703532</v>
      </c>
      <c r="L46" s="178">
        <f t="shared" si="7"/>
        <v>1928292971.8196394</v>
      </c>
      <c r="N46" s="111"/>
    </row>
    <row r="47" spans="1:14" ht="15.75" thickTop="1" x14ac:dyDescent="0.25">
      <c r="N47" s="111"/>
    </row>
    <row r="48" spans="1:14" ht="18" customHeight="1" x14ac:dyDescent="0.25">
      <c r="A48" s="172" t="s">
        <v>906</v>
      </c>
      <c r="N48" s="111"/>
    </row>
    <row r="49" spans="1:14" x14ac:dyDescent="0.25">
      <c r="A49" s="6" t="s">
        <v>907</v>
      </c>
      <c r="B49" s="108">
        <f>B51-B50</f>
        <v>783615064.98287559</v>
      </c>
      <c r="C49" s="108">
        <f t="shared" ref="C49:L49" si="8">C51-C50</f>
        <v>794326316.94210565</v>
      </c>
      <c r="D49" s="108">
        <f t="shared" si="8"/>
        <v>804113159.02447724</v>
      </c>
      <c r="E49" s="108">
        <f t="shared" si="8"/>
        <v>815055250.37586677</v>
      </c>
      <c r="F49" s="108">
        <f t="shared" si="8"/>
        <v>826260823.59666109</v>
      </c>
      <c r="G49" s="108">
        <f t="shared" si="8"/>
        <v>837061363.23865855</v>
      </c>
      <c r="H49" s="108">
        <f t="shared" si="8"/>
        <v>847704909.38228321</v>
      </c>
      <c r="I49" s="108">
        <f t="shared" si="8"/>
        <v>857346627.32601273</v>
      </c>
      <c r="J49" s="108">
        <f t="shared" si="8"/>
        <v>867456195.02286637</v>
      </c>
      <c r="K49" s="108">
        <f t="shared" si="8"/>
        <v>876971082.48458242</v>
      </c>
      <c r="L49" s="108">
        <f t="shared" si="8"/>
        <v>886025545.23162878</v>
      </c>
      <c r="N49" s="111"/>
    </row>
    <row r="50" spans="1:14" x14ac:dyDescent="0.25">
      <c r="A50" s="6" t="s">
        <v>908</v>
      </c>
      <c r="B50" s="108">
        <f>713130000+SUM('Note 9'!C17:C18)</f>
        <v>733284450.26594567</v>
      </c>
      <c r="C50" s="108">
        <f>B50+SUM('Note 9'!D17:D18)</f>
        <v>759229918.05363834</v>
      </c>
      <c r="D50" s="108">
        <f>C50+SUM('Note 9'!E17:E18)</f>
        <v>786801564.69325995</v>
      </c>
      <c r="E50" s="108">
        <f>D50+SUM('Note 9'!F17:F18)</f>
        <v>815336898.42871821</v>
      </c>
      <c r="F50" s="108">
        <f>E50+SUM('Note 9'!G17:G18)</f>
        <v>844831699.28930664</v>
      </c>
      <c r="G50" s="108">
        <f>F50+SUM('Note 9'!H17:H18)</f>
        <v>875292800.14390886</v>
      </c>
      <c r="H50" s="108">
        <f>G50+SUM('Note 9'!I17:I18)</f>
        <v>906738300.92261219</v>
      </c>
      <c r="I50" s="108">
        <f>H50+SUM('Note 9'!J17:J18)</f>
        <v>939137575.72371304</v>
      </c>
      <c r="J50" s="108">
        <f>I50+SUM('Note 9'!K17:K18)</f>
        <v>972534461.00610244</v>
      </c>
      <c r="K50" s="108">
        <f>J50+SUM('Note 9'!L17:L18)</f>
        <v>1006914352.3857708</v>
      </c>
      <c r="L50" s="108">
        <f>K50+SUM('Note 9'!M17:M18)</f>
        <v>1042267426.5880107</v>
      </c>
      <c r="N50" s="111"/>
    </row>
    <row r="51" spans="1:14" ht="18" customHeight="1" thickBot="1" x14ac:dyDescent="0.3">
      <c r="A51" s="177" t="s">
        <v>909</v>
      </c>
      <c r="B51" s="178">
        <f>B46</f>
        <v>1516899515.2488213</v>
      </c>
      <c r="C51" s="178">
        <f t="shared" ref="C51:L51" si="9">C46</f>
        <v>1553556234.995744</v>
      </c>
      <c r="D51" s="178">
        <f t="shared" si="9"/>
        <v>1590914723.7177372</v>
      </c>
      <c r="E51" s="178">
        <f t="shared" si="9"/>
        <v>1630392148.804585</v>
      </c>
      <c r="F51" s="178">
        <f t="shared" si="9"/>
        <v>1671092522.8859677</v>
      </c>
      <c r="G51" s="178">
        <f t="shared" si="9"/>
        <v>1712354163.3825674</v>
      </c>
      <c r="H51" s="178">
        <f t="shared" si="9"/>
        <v>1754443210.3048954</v>
      </c>
      <c r="I51" s="178">
        <f t="shared" si="9"/>
        <v>1796484203.0497258</v>
      </c>
      <c r="J51" s="178">
        <f t="shared" si="9"/>
        <v>1839990656.0289688</v>
      </c>
      <c r="K51" s="178">
        <f t="shared" si="9"/>
        <v>1883885434.8703532</v>
      </c>
      <c r="L51" s="178">
        <f t="shared" si="9"/>
        <v>1928292971.8196394</v>
      </c>
      <c r="N51" s="111"/>
    </row>
    <row r="52" spans="1:14" ht="15.75" thickTop="1" x14ac:dyDescent="0.25"/>
  </sheetData>
  <pageMargins left="0.70866141732283472" right="0.70866141732283472" top="0.74803149606299213" bottom="0.74803149606299213" header="0.31496062992125984" footer="0.31496062992125984"/>
  <pageSetup paperSize="9" scale="67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45"/>
  <sheetViews>
    <sheetView zoomScaleNormal="100" workbookViewId="0">
      <pane xSplit="1" ySplit="7" topLeftCell="B8" activePane="bottomRight" state="frozen"/>
      <selection activeCell="C13" sqref="C13"/>
      <selection pane="topRight" activeCell="C13" sqref="C13"/>
      <selection pane="bottomLeft" activeCell="C13" sqref="C13"/>
      <selection pane="bottomRight" activeCell="K48" sqref="K48"/>
    </sheetView>
  </sheetViews>
  <sheetFormatPr defaultColWidth="9.140625" defaultRowHeight="15" x14ac:dyDescent="0.25"/>
  <cols>
    <col min="1" max="1" width="51.7109375" style="44" customWidth="1"/>
    <col min="2" max="2" width="12.7109375" style="44" hidden="1" customWidth="1"/>
    <col min="3" max="12" width="12.7109375" style="44" customWidth="1"/>
    <col min="13" max="16384" width="9.140625" style="44"/>
  </cols>
  <sheetData>
    <row r="1" spans="1:14" ht="21" customHeight="1" x14ac:dyDescent="0.25">
      <c r="A1" s="171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4" ht="21" customHeight="1" x14ac:dyDescent="0.25">
      <c r="A2" s="171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4" ht="18" customHeight="1" x14ac:dyDescent="0.25">
      <c r="A3" s="1" t="s">
        <v>910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4" x14ac:dyDescent="0.25">
      <c r="A5" s="6"/>
      <c r="B5" s="7" t="s">
        <v>7</v>
      </c>
      <c r="C5" s="170" t="s">
        <v>8</v>
      </c>
      <c r="D5" s="170" t="s">
        <v>9</v>
      </c>
      <c r="E5" s="170" t="s">
        <v>10</v>
      </c>
      <c r="F5" s="170" t="s">
        <v>11</v>
      </c>
      <c r="G5" s="170" t="s">
        <v>12</v>
      </c>
      <c r="H5" s="170" t="s">
        <v>13</v>
      </c>
      <c r="I5" s="170" t="s">
        <v>14</v>
      </c>
      <c r="J5" s="170" t="s">
        <v>15</v>
      </c>
      <c r="K5" s="170" t="s">
        <v>16</v>
      </c>
      <c r="L5" s="170" t="s">
        <v>17</v>
      </c>
    </row>
    <row r="6" spans="1:14" x14ac:dyDescent="0.25">
      <c r="A6" s="6"/>
      <c r="B6" s="7">
        <f>BASE_YR</f>
        <v>2018</v>
      </c>
      <c r="C6" s="170">
        <f>B6+1</f>
        <v>2019</v>
      </c>
      <c r="D6" s="170">
        <f t="shared" ref="D6:L6" si="0">C6+1</f>
        <v>2020</v>
      </c>
      <c r="E6" s="170">
        <f t="shared" si="0"/>
        <v>2021</v>
      </c>
      <c r="F6" s="170">
        <f t="shared" si="0"/>
        <v>2022</v>
      </c>
      <c r="G6" s="170">
        <f t="shared" si="0"/>
        <v>2023</v>
      </c>
      <c r="H6" s="170">
        <f t="shared" si="0"/>
        <v>2024</v>
      </c>
      <c r="I6" s="170">
        <f t="shared" si="0"/>
        <v>2025</v>
      </c>
      <c r="J6" s="170">
        <f t="shared" si="0"/>
        <v>2026</v>
      </c>
      <c r="K6" s="170">
        <f t="shared" si="0"/>
        <v>2027</v>
      </c>
      <c r="L6" s="170">
        <f t="shared" si="0"/>
        <v>2028</v>
      </c>
    </row>
    <row r="7" spans="1:14" x14ac:dyDescent="0.25">
      <c r="A7" s="6"/>
      <c r="B7" s="7" t="s">
        <v>864</v>
      </c>
      <c r="C7" s="170" t="s">
        <v>864</v>
      </c>
      <c r="D7" s="170" t="s">
        <v>864</v>
      </c>
      <c r="E7" s="170" t="s">
        <v>864</v>
      </c>
      <c r="F7" s="170" t="s">
        <v>864</v>
      </c>
      <c r="G7" s="170" t="s">
        <v>864</v>
      </c>
      <c r="H7" s="170" t="s">
        <v>864</v>
      </c>
      <c r="I7" s="170" t="s">
        <v>864</v>
      </c>
      <c r="J7" s="170" t="s">
        <v>864</v>
      </c>
      <c r="K7" s="170" t="s">
        <v>864</v>
      </c>
      <c r="L7" s="170" t="s">
        <v>864</v>
      </c>
    </row>
    <row r="8" spans="1:14" ht="18" customHeight="1" x14ac:dyDescent="0.25">
      <c r="A8" s="172" t="s">
        <v>747</v>
      </c>
    </row>
    <row r="9" spans="1:14" ht="18" customHeight="1" x14ac:dyDescent="0.25">
      <c r="A9" s="180" t="s">
        <v>748</v>
      </c>
    </row>
    <row r="10" spans="1:14" x14ac:dyDescent="0.25">
      <c r="A10" s="6" t="s">
        <v>749</v>
      </c>
      <c r="B10" s="108">
        <f>'Cashflow Works'!B13</f>
        <v>107536247.25</v>
      </c>
      <c r="C10" s="108">
        <f>'Cashflow Works'!C13</f>
        <v>115045654.70686436</v>
      </c>
      <c r="D10" s="108">
        <f>'Cashflow Works'!D13</f>
        <v>116176535.15310706</v>
      </c>
      <c r="E10" s="108">
        <f>'Cashflow Works'!E13</f>
        <v>122046695.0195291</v>
      </c>
      <c r="F10" s="108">
        <f>'Cashflow Works'!F13</f>
        <v>125735376.49030395</v>
      </c>
      <c r="G10" s="108">
        <f>'Cashflow Works'!G13</f>
        <v>129431765.3274771</v>
      </c>
      <c r="H10" s="108">
        <f>'Cashflow Works'!H13</f>
        <v>133419001.36891234</v>
      </c>
      <c r="I10" s="108">
        <f>'Cashflow Works'!I13</f>
        <v>137526348.22550762</v>
      </c>
      <c r="J10" s="108">
        <f>'Cashflow Works'!J13</f>
        <v>141757370.7251533</v>
      </c>
      <c r="K10" s="108">
        <f>'Cashflow Works'!K13</f>
        <v>145913061.37068877</v>
      </c>
      <c r="L10" s="108">
        <f>'Cashflow Works'!L13</f>
        <v>150188023.33124036</v>
      </c>
      <c r="N10" s="111"/>
    </row>
    <row r="11" spans="1:14" x14ac:dyDescent="0.25">
      <c r="A11" s="6" t="s">
        <v>28</v>
      </c>
      <c r="B11" s="108">
        <f>'Cashflow Works'!B22</f>
        <v>18070910</v>
      </c>
      <c r="C11" s="108">
        <f>'Cashflow Works'!C22</f>
        <v>18642567.498276461</v>
      </c>
      <c r="D11" s="108">
        <f>'Cashflow Works'!D22</f>
        <v>19224667.64411797</v>
      </c>
      <c r="E11" s="108">
        <f>'Cashflow Works'!E22</f>
        <v>19867858.267816957</v>
      </c>
      <c r="F11" s="108">
        <f>'Cashflow Works'!F22</f>
        <v>20460146.819997482</v>
      </c>
      <c r="G11" s="108">
        <f>'Cashflow Works'!G22</f>
        <v>21141754.365774464</v>
      </c>
      <c r="H11" s="108">
        <f>'Cashflow Works'!H22</f>
        <v>21853551.244193368</v>
      </c>
      <c r="I11" s="108">
        <f>'Cashflow Works'!I22</f>
        <v>22589827.153678205</v>
      </c>
      <c r="J11" s="108">
        <f>'Cashflow Works'!J22</f>
        <v>23351438.221225265</v>
      </c>
      <c r="K11" s="108">
        <f>'Cashflow Works'!K22</f>
        <v>24131729.351628337</v>
      </c>
      <c r="L11" s="108">
        <f>'Cashflow Works'!L22</f>
        <v>24938745.188653607</v>
      </c>
      <c r="N11" s="111"/>
    </row>
    <row r="12" spans="1:14" x14ac:dyDescent="0.25">
      <c r="A12" s="6" t="s">
        <v>911</v>
      </c>
      <c r="B12" s="108">
        <f>'Cashflow Works'!B31</f>
        <v>1848193.29</v>
      </c>
      <c r="C12" s="108">
        <f>'Cashflow Works'!C31</f>
        <v>1304164.6276270836</v>
      </c>
      <c r="D12" s="108">
        <f>'Cashflow Works'!D31</f>
        <v>1250979.9337383164</v>
      </c>
      <c r="E12" s="108">
        <f>'Cashflow Works'!E31</f>
        <v>1206952.2447912965</v>
      </c>
      <c r="F12" s="108">
        <f>'Cashflow Works'!F31</f>
        <v>1208428.8627368596</v>
      </c>
      <c r="G12" s="108">
        <f>'Cashflow Works'!G31</f>
        <v>1240559.6213981772</v>
      </c>
      <c r="H12" s="108">
        <f>'Cashflow Works'!H31</f>
        <v>1368037.6542312682</v>
      </c>
      <c r="I12" s="108">
        <f>'Cashflow Works'!I31</f>
        <v>1437595.2337646955</v>
      </c>
      <c r="J12" s="108">
        <f>'Cashflow Works'!J31</f>
        <v>1513130.671523391</v>
      </c>
      <c r="K12" s="108">
        <f>'Cashflow Works'!K31</f>
        <v>1554063.5614535394</v>
      </c>
      <c r="L12" s="108">
        <f>'Cashflow Works'!L31</f>
        <v>1600940.2678493573</v>
      </c>
      <c r="N12" s="111"/>
    </row>
    <row r="13" spans="1:14" x14ac:dyDescent="0.25">
      <c r="A13" s="6" t="s">
        <v>912</v>
      </c>
      <c r="B13" s="108">
        <f>'Cashflow Works'!B38</f>
        <v>11309647.27</v>
      </c>
      <c r="C13" s="108">
        <f>'Cashflow Works'!C38</f>
        <v>12205783.33475</v>
      </c>
      <c r="D13" s="108">
        <f>'Cashflow Works'!D38</f>
        <v>12411077.918118749</v>
      </c>
      <c r="E13" s="108">
        <f>'Cashflow Works'!E38</f>
        <v>12571504.866071718</v>
      </c>
      <c r="F13" s="108">
        <f>'Cashflow Works'!F38</f>
        <v>12787192.487723509</v>
      </c>
      <c r="G13" s="108">
        <f>'Cashflow Works'!G38</f>
        <v>13008272.299916595</v>
      </c>
      <c r="H13" s="108">
        <f>'Cashflow Works'!H38</f>
        <v>13234879.107414508</v>
      </c>
      <c r="I13" s="108">
        <f>'Cashflow Works'!I38</f>
        <v>13467151.085099872</v>
      </c>
      <c r="J13" s="108">
        <f>'Cashflow Works'!J38</f>
        <v>13705229.862227369</v>
      </c>
      <c r="K13" s="108">
        <f>'Cashflow Works'!K38</f>
        <v>13949260.60878305</v>
      </c>
      <c r="L13" s="108">
        <f>'Cashflow Works'!L38</f>
        <v>14199392.124002624</v>
      </c>
      <c r="N13" s="111"/>
    </row>
    <row r="14" spans="1:14" x14ac:dyDescent="0.25">
      <c r="A14" s="6" t="s">
        <v>913</v>
      </c>
      <c r="B14" s="108">
        <f>'Cashflow Works'!B44</f>
        <v>700173.62000000011</v>
      </c>
      <c r="C14" s="108">
        <f>'Cashflow Works'!C44</f>
        <v>230353.87156589236</v>
      </c>
      <c r="D14" s="108">
        <f>'Cashflow Works'!D44</f>
        <v>238819.76851291396</v>
      </c>
      <c r="E14" s="108">
        <f>'Cashflow Works'!E44</f>
        <v>247596.80158554297</v>
      </c>
      <c r="F14" s="108">
        <f>'Cashflow Works'!F44</f>
        <v>256696.40556609072</v>
      </c>
      <c r="G14" s="108">
        <f>'Cashflow Works'!G44</f>
        <v>266130.43548458442</v>
      </c>
      <c r="H14" s="108">
        <f>'Cashflow Works'!H44</f>
        <v>275911.18206358887</v>
      </c>
      <c r="I14" s="108">
        <f>'Cashflow Works'!I44</f>
        <v>286051.38773064688</v>
      </c>
      <c r="J14" s="108">
        <f>'Cashflow Works'!J44</f>
        <v>296564.26321920846</v>
      </c>
      <c r="K14" s="108">
        <f>'Cashflow Works'!K44</f>
        <v>307463.50477966666</v>
      </c>
      <c r="L14" s="108">
        <f>'Cashflow Works'!L44</f>
        <v>318763.31202293374</v>
      </c>
      <c r="N14" s="111"/>
    </row>
    <row r="15" spans="1:14" x14ac:dyDescent="0.25">
      <c r="A15" s="6" t="s">
        <v>522</v>
      </c>
      <c r="B15" s="108">
        <f>'Cashflow Works'!B51</f>
        <v>8654291.0500000007</v>
      </c>
      <c r="C15" s="108">
        <f>'Cashflow Works'!C51</f>
        <v>8508496.3565862589</v>
      </c>
      <c r="D15" s="108">
        <f>'Cashflow Works'!D51</f>
        <v>8796004.3650651146</v>
      </c>
      <c r="E15" s="108">
        <f>'Cashflow Works'!E51</f>
        <v>9063257.7174228132</v>
      </c>
      <c r="F15" s="108">
        <f>'Cashflow Works'!F51</f>
        <v>9338758.6215319</v>
      </c>
      <c r="G15" s="108">
        <f>'Cashflow Works'!G51</f>
        <v>9622904.8654332981</v>
      </c>
      <c r="H15" s="108">
        <f>'Cashflow Works'!H51</f>
        <v>9916206.6673317254</v>
      </c>
      <c r="I15" s="108">
        <f>'Cashflow Works'!I51</f>
        <v>10218990.04106747</v>
      </c>
      <c r="J15" s="108">
        <f>'Cashflow Works'!J51</f>
        <v>10530974.418828465</v>
      </c>
      <c r="K15" s="108">
        <f>'Cashflow Works'!K51</f>
        <v>10852779.303589035</v>
      </c>
      <c r="L15" s="108">
        <f>'Cashflow Works'!L51</f>
        <v>11184721.96363125</v>
      </c>
      <c r="N15" s="111"/>
    </row>
    <row r="16" spans="1:14" ht="18" customHeight="1" x14ac:dyDescent="0.25">
      <c r="A16" s="180" t="s">
        <v>914</v>
      </c>
      <c r="N16" s="111"/>
    </row>
    <row r="17" spans="1:14" x14ac:dyDescent="0.25">
      <c r="A17" s="6" t="s">
        <v>80</v>
      </c>
      <c r="B17" s="165">
        <f>'Cashflow Works'!B61</f>
        <v>-61695817.926044673</v>
      </c>
      <c r="C17" s="165">
        <f>'Cashflow Works'!C61</f>
        <v>-63646419.55808007</v>
      </c>
      <c r="D17" s="165">
        <f>'Cashflow Works'!D61</f>
        <v>-65977352.896003135</v>
      </c>
      <c r="E17" s="165">
        <f>'Cashflow Works'!E61</f>
        <v>-68396588.981442496</v>
      </c>
      <c r="F17" s="165">
        <f>'Cashflow Works'!F61</f>
        <v>-71157455.17383121</v>
      </c>
      <c r="G17" s="165">
        <f>'Cashflow Works'!G61</f>
        <v>-74033938.752842426</v>
      </c>
      <c r="H17" s="165">
        <f>'Cashflow Works'!H61</f>
        <v>-77030981.922753856</v>
      </c>
      <c r="I17" s="165">
        <f>'Cashflow Works'!I61</f>
        <v>-80153740.262185588</v>
      </c>
      <c r="J17" s="165">
        <f>'Cashflow Works'!J61</f>
        <v>-83407591.970624685</v>
      </c>
      <c r="K17" s="165">
        <f>'Cashflow Works'!K61</f>
        <v>-86493125.89431414</v>
      </c>
      <c r="L17" s="165">
        <f>'Cashflow Works'!L61</f>
        <v>-89696406.646125168</v>
      </c>
      <c r="N17" s="111"/>
    </row>
    <row r="18" spans="1:14" x14ac:dyDescent="0.25">
      <c r="A18" s="6" t="s">
        <v>36</v>
      </c>
      <c r="B18" s="165">
        <f>'Cashflow Works'!B68</f>
        <v>-37416106.910000004</v>
      </c>
      <c r="C18" s="165">
        <f>'Cashflow Works'!C68</f>
        <v>-37520076.809500001</v>
      </c>
      <c r="D18" s="165">
        <f>'Cashflow Works'!D68</f>
        <v>-38458078.729737498</v>
      </c>
      <c r="E18" s="165">
        <f>'Cashflow Works'!E68</f>
        <v>-39419530.69798094</v>
      </c>
      <c r="F18" s="165">
        <f>'Cashflow Works'!F68</f>
        <v>-40405018.965430468</v>
      </c>
      <c r="G18" s="165">
        <f>'Cashflow Works'!G68</f>
        <v>-41415144.439566217</v>
      </c>
      <c r="H18" s="165">
        <f>'Cashflow Works'!H68</f>
        <v>-42450523.050555386</v>
      </c>
      <c r="I18" s="165">
        <f>'Cashflow Works'!I68</f>
        <v>-43511786.12681926</v>
      </c>
      <c r="J18" s="165">
        <f>'Cashflow Works'!J68</f>
        <v>-44599580.779989749</v>
      </c>
      <c r="K18" s="165">
        <f>'Cashflow Works'!K68</f>
        <v>-45714570.299489498</v>
      </c>
      <c r="L18" s="165">
        <f>'Cashflow Works'!L68</f>
        <v>-46857434.556976728</v>
      </c>
      <c r="N18" s="111"/>
    </row>
    <row r="19" spans="1:14" x14ac:dyDescent="0.25">
      <c r="A19" s="6" t="s">
        <v>875</v>
      </c>
      <c r="B19" s="165">
        <v>0</v>
      </c>
      <c r="C19" s="165">
        <f>-'Income Statement'!C24</f>
        <v>-1350000</v>
      </c>
      <c r="D19" s="165">
        <f>-'Income Statement'!D24</f>
        <v>-1287437.9117275202</v>
      </c>
      <c r="E19" s="165">
        <f>-'Income Statement'!E24</f>
        <v>-1221747.7190414162</v>
      </c>
      <c r="F19" s="165">
        <f>-'Income Statement'!F24</f>
        <v>-1152773.0167210072</v>
      </c>
      <c r="G19" s="165">
        <f>-'Income Statement'!G24</f>
        <v>-1080349.5792845774</v>
      </c>
      <c r="H19" s="165">
        <f>-'Income Statement'!H24</f>
        <v>-1004304.9699763265</v>
      </c>
      <c r="I19" s="165">
        <f>-'Income Statement'!I24</f>
        <v>-924458.13020266301</v>
      </c>
      <c r="J19" s="165">
        <f>-'Income Statement'!J24</f>
        <v>-840618.94844031613</v>
      </c>
      <c r="K19" s="165">
        <f>-'Income Statement'!K24</f>
        <v>-752587.80758985213</v>
      </c>
      <c r="L19" s="165">
        <f>-'Income Statement'!L24</f>
        <v>-660155.10969686473</v>
      </c>
      <c r="N19" s="111"/>
    </row>
    <row r="20" spans="1:14" x14ac:dyDescent="0.25">
      <c r="A20" s="6" t="s">
        <v>522</v>
      </c>
      <c r="B20" s="165">
        <f>'Cashflow Works'!B75</f>
        <v>-11647692.030000001</v>
      </c>
      <c r="C20" s="165">
        <f>'Cashflow Works'!C75</f>
        <v>-15975309.799507085</v>
      </c>
      <c r="D20" s="165">
        <f>'Cashflow Works'!D75</f>
        <v>-16447311.262505032</v>
      </c>
      <c r="E20" s="165">
        <f>'Cashflow Works'!E75</f>
        <v>-17660307.38826656</v>
      </c>
      <c r="F20" s="165">
        <f>'Cashflow Works'!F75</f>
        <v>-17509902.308201216</v>
      </c>
      <c r="G20" s="165">
        <f>'Cashflow Works'!G75</f>
        <v>-18071351.901310895</v>
      </c>
      <c r="H20" s="165">
        <f>'Cashflow Works'!H75</f>
        <v>-18654365.433599919</v>
      </c>
      <c r="I20" s="165">
        <f>'Cashflow Works'!I75</f>
        <v>-20024793.643559881</v>
      </c>
      <c r="J20" s="165">
        <f>'Cashflow Works'!J75</f>
        <v>-19888145.205886517</v>
      </c>
      <c r="K20" s="165">
        <f>'Cashflow Works'!K75</f>
        <v>-20541483.926765367</v>
      </c>
      <c r="L20" s="165">
        <f>'Cashflow Works'!L75</f>
        <v>-21220497.980207782</v>
      </c>
      <c r="N20" s="111"/>
    </row>
    <row r="21" spans="1:14" ht="18" customHeight="1" x14ac:dyDescent="0.25">
      <c r="A21" s="174" t="s">
        <v>915</v>
      </c>
      <c r="B21" s="175">
        <f t="shared" ref="B21:L21" si="1">SUBTOTAL(9,B10:B20)</f>
        <v>37359845.613955341</v>
      </c>
      <c r="C21" s="175">
        <f t="shared" si="1"/>
        <v>37445214.228582859</v>
      </c>
      <c r="D21" s="175">
        <f t="shared" si="1"/>
        <v>35927903.982686952</v>
      </c>
      <c r="E21" s="175">
        <f t="shared" si="1"/>
        <v>38305690.130486056</v>
      </c>
      <c r="F21" s="175">
        <f t="shared" si="1"/>
        <v>39561450.223675869</v>
      </c>
      <c r="G21" s="175">
        <f t="shared" si="1"/>
        <v>40110602.242480099</v>
      </c>
      <c r="H21" s="175">
        <f t="shared" si="1"/>
        <v>40927411.847261325</v>
      </c>
      <c r="I21" s="175">
        <f t="shared" si="1"/>
        <v>40911184.964081153</v>
      </c>
      <c r="J21" s="175">
        <f t="shared" si="1"/>
        <v>42418771.257235736</v>
      </c>
      <c r="K21" s="175">
        <f t="shared" si="1"/>
        <v>43206589.772763543</v>
      </c>
      <c r="L21" s="175">
        <f t="shared" si="1"/>
        <v>43996091.894393593</v>
      </c>
      <c r="N21" s="111"/>
    </row>
    <row r="22" spans="1:14" x14ac:dyDescent="0.25">
      <c r="N22" s="111"/>
    </row>
    <row r="23" spans="1:14" ht="18" customHeight="1" x14ac:dyDescent="0.25">
      <c r="A23" s="172" t="s">
        <v>916</v>
      </c>
      <c r="B23" s="120">
        <f>B21+B26+B29</f>
        <v>6459326.9929457344</v>
      </c>
      <c r="C23" s="120">
        <f t="shared" ref="C23:L23" si="2">C21+C26+C29</f>
        <v>-30573211.717554636</v>
      </c>
      <c r="D23" s="120">
        <f t="shared" si="2"/>
        <v>-14745.968550503254</v>
      </c>
      <c r="E23" s="120">
        <f t="shared" si="2"/>
        <v>-426401.48554906249</v>
      </c>
      <c r="F23" s="120">
        <f t="shared" si="2"/>
        <v>1824492.8922994807</v>
      </c>
      <c r="G23" s="120">
        <f t="shared" si="2"/>
        <v>2151107.9155126736</v>
      </c>
      <c r="H23" s="120">
        <f t="shared" si="2"/>
        <v>2942706.9515929893</v>
      </c>
      <c r="I23" s="120">
        <f t="shared" si="2"/>
        <v>3803872.0003319681</v>
      </c>
      <c r="J23" s="120">
        <f t="shared" si="2"/>
        <v>3720525.3308388665</v>
      </c>
      <c r="K23" s="120">
        <f t="shared" si="2"/>
        <v>2985453.8678358346</v>
      </c>
      <c r="L23" s="120">
        <f t="shared" si="2"/>
        <v>3493757.1221184954</v>
      </c>
      <c r="M23" s="112" t="s">
        <v>922</v>
      </c>
      <c r="N23" s="111"/>
    </row>
    <row r="24" spans="1:14" ht="18" customHeight="1" x14ac:dyDescent="0.25">
      <c r="A24" s="180" t="s">
        <v>748</v>
      </c>
      <c r="M24" s="112"/>
      <c r="N24" s="111"/>
    </row>
    <row r="25" spans="1:14" x14ac:dyDescent="0.25">
      <c r="A25" s="6" t="s">
        <v>917</v>
      </c>
      <c r="B25" s="108">
        <v>50000000</v>
      </c>
      <c r="C25" s="108">
        <v>50000000</v>
      </c>
      <c r="D25" s="108">
        <v>50000000</v>
      </c>
      <c r="E25" s="108">
        <v>50000000</v>
      </c>
      <c r="F25" s="108">
        <v>50000000</v>
      </c>
      <c r="G25" s="108">
        <v>50000000</v>
      </c>
      <c r="H25" s="108">
        <v>50000000</v>
      </c>
      <c r="I25" s="108">
        <v>50000000</v>
      </c>
      <c r="J25" s="108">
        <v>50000000</v>
      </c>
      <c r="K25" s="108">
        <v>50000000</v>
      </c>
      <c r="L25" s="108">
        <v>50000000</v>
      </c>
      <c r="M25" s="112" t="s">
        <v>923</v>
      </c>
      <c r="N25" s="111"/>
    </row>
    <row r="26" spans="1:14" x14ac:dyDescent="0.25">
      <c r="A26" s="6" t="s">
        <v>918</v>
      </c>
      <c r="B26" s="108">
        <f>'Cashflow Works'!B84</f>
        <v>1339990.6518488859</v>
      </c>
      <c r="C26" s="108">
        <f>'Cashflow Works'!C84</f>
        <v>1986233.3683395316</v>
      </c>
      <c r="D26" s="108">
        <f>'Cashflow Works'!D84</f>
        <v>979417.60729948338</v>
      </c>
      <c r="E26" s="108">
        <f>'Cashflow Works'!E84</f>
        <v>2089128.6379180767</v>
      </c>
      <c r="F26" s="108">
        <f>'Cashflow Works'!F84</f>
        <v>1504475.077432828</v>
      </c>
      <c r="G26" s="108">
        <f>'Cashflow Works'!G84</f>
        <v>1386375.8509533047</v>
      </c>
      <c r="H26" s="108">
        <f>'Cashflow Works'!H84</f>
        <v>2038991.9966346384</v>
      </c>
      <c r="I26" s="108">
        <f>'Cashflow Works'!I84</f>
        <v>1416092.316169546</v>
      </c>
      <c r="J26" s="108">
        <f>'Cashflow Works'!J84</f>
        <v>1653005.9333907163</v>
      </c>
      <c r="K26" s="108">
        <f>'Cashflow Works'!K84</f>
        <v>2472224.7518494073</v>
      </c>
      <c r="L26" s="108">
        <f>'Cashflow Works'!L84</f>
        <v>1375635.6111985457</v>
      </c>
      <c r="N26" s="111"/>
    </row>
    <row r="27" spans="1:14" ht="18" customHeight="1" x14ac:dyDescent="0.25">
      <c r="A27" s="180" t="s">
        <v>914</v>
      </c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N27" s="111"/>
    </row>
    <row r="28" spans="1:14" x14ac:dyDescent="0.25">
      <c r="A28" s="6" t="s">
        <v>919</v>
      </c>
      <c r="B28" s="165">
        <v>-56700000</v>
      </c>
      <c r="C28" s="165">
        <f>-46000000</f>
        <v>-46000000</v>
      </c>
      <c r="D28" s="165">
        <f>-49000000</f>
        <v>-49000000</v>
      </c>
      <c r="E28" s="165">
        <f>-48000000</f>
        <v>-48000000</v>
      </c>
      <c r="F28" s="165">
        <f>-50500000</f>
        <v>-50500000</v>
      </c>
      <c r="G28" s="165">
        <f>-51000000</f>
        <v>-51000000</v>
      </c>
      <c r="H28" s="165">
        <f>-51500000</f>
        <v>-51500000</v>
      </c>
      <c r="I28" s="165">
        <f>-52000000</f>
        <v>-52000000</v>
      </c>
      <c r="J28" s="165">
        <f>-52000000</f>
        <v>-52000000</v>
      </c>
      <c r="K28" s="165">
        <v>-50500000</v>
      </c>
      <c r="L28" s="165">
        <f>-51500000</f>
        <v>-51500000</v>
      </c>
      <c r="M28" s="112" t="s">
        <v>923</v>
      </c>
      <c r="N28" s="111"/>
    </row>
    <row r="29" spans="1:14" x14ac:dyDescent="0.25">
      <c r="A29" s="6" t="s">
        <v>920</v>
      </c>
      <c r="B29" s="165">
        <f>'Cashflow Works'!B96</f>
        <v>-32240509.272858489</v>
      </c>
      <c r="C29" s="165">
        <f>'Cashflow Works'!C96</f>
        <v>-70004659.314477026</v>
      </c>
      <c r="D29" s="165">
        <f>'Cashflow Works'!D96</f>
        <v>-36922067.558536939</v>
      </c>
      <c r="E29" s="165">
        <f>'Cashflow Works'!E96</f>
        <v>-40821220.253953196</v>
      </c>
      <c r="F29" s="165">
        <f>'Cashflow Works'!F96</f>
        <v>-39241432.408809215</v>
      </c>
      <c r="G29" s="165">
        <f>'Cashflow Works'!G96</f>
        <v>-39345870.177920729</v>
      </c>
      <c r="H29" s="165">
        <f>'Cashflow Works'!H96</f>
        <v>-40023696.892302975</v>
      </c>
      <c r="I29" s="165">
        <f>'Cashflow Works'!I96</f>
        <v>-38523405.27991873</v>
      </c>
      <c r="J29" s="165">
        <f>'Cashflow Works'!J96</f>
        <v>-40351251.859787583</v>
      </c>
      <c r="K29" s="165">
        <f>'Cashflow Works'!K96</f>
        <v>-42693360.656777114</v>
      </c>
      <c r="L29" s="165">
        <f>'Cashflow Works'!L96</f>
        <v>-41877970.383473642</v>
      </c>
      <c r="N29" s="111"/>
    </row>
    <row r="30" spans="1:14" ht="18" customHeight="1" x14ac:dyDescent="0.25">
      <c r="A30" s="174" t="s">
        <v>921</v>
      </c>
      <c r="B30" s="181">
        <f>SUBTOTAL(9,B25:B29)</f>
        <v>-37600518.621009603</v>
      </c>
      <c r="C30" s="181">
        <f t="shared" ref="C30:L30" si="3">SUBTOTAL(9,C25:C29)</f>
        <v>-64018425.946137495</v>
      </c>
      <c r="D30" s="181">
        <f t="shared" si="3"/>
        <v>-34942649.951237455</v>
      </c>
      <c r="E30" s="181">
        <f t="shared" si="3"/>
        <v>-36732091.616035119</v>
      </c>
      <c r="F30" s="181">
        <f t="shared" si="3"/>
        <v>-38236957.331376389</v>
      </c>
      <c r="G30" s="181">
        <f t="shared" si="3"/>
        <v>-38959494.326967426</v>
      </c>
      <c r="H30" s="181">
        <f t="shared" si="3"/>
        <v>-39484704.895668335</v>
      </c>
      <c r="I30" s="181">
        <f t="shared" si="3"/>
        <v>-39107312.963749185</v>
      </c>
      <c r="J30" s="181">
        <f t="shared" si="3"/>
        <v>-40698245.926396869</v>
      </c>
      <c r="K30" s="181">
        <f t="shared" si="3"/>
        <v>-40721135.904927708</v>
      </c>
      <c r="L30" s="181">
        <f t="shared" si="3"/>
        <v>-42002334.772275098</v>
      </c>
      <c r="N30" s="111"/>
    </row>
    <row r="31" spans="1:14" x14ac:dyDescent="0.25">
      <c r="N31" s="111"/>
    </row>
    <row r="32" spans="1:14" ht="18" customHeight="1" x14ac:dyDescent="0.25">
      <c r="A32" s="172" t="s">
        <v>924</v>
      </c>
      <c r="N32" s="111"/>
    </row>
    <row r="33" spans="1:14" ht="18" customHeight="1" x14ac:dyDescent="0.25">
      <c r="A33" s="180" t="s">
        <v>748</v>
      </c>
      <c r="M33" s="112"/>
      <c r="N33" s="111"/>
    </row>
    <row r="34" spans="1:14" x14ac:dyDescent="0.25">
      <c r="A34" s="6" t="s">
        <v>1201</v>
      </c>
      <c r="B34" s="108">
        <v>0</v>
      </c>
      <c r="C34" s="108">
        <v>27000000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12"/>
      <c r="N34" s="111"/>
    </row>
    <row r="35" spans="1:14" ht="18" customHeight="1" x14ac:dyDescent="0.25">
      <c r="A35" s="180" t="s">
        <v>914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N35" s="111"/>
    </row>
    <row r="36" spans="1:14" x14ac:dyDescent="0.25">
      <c r="A36" s="6" t="s">
        <v>1201</v>
      </c>
      <c r="B36" s="165">
        <v>0</v>
      </c>
      <c r="C36" s="165">
        <v>-1251241.7654496001</v>
      </c>
      <c r="D36" s="165">
        <v>-1313803.8537220799</v>
      </c>
      <c r="E36" s="165">
        <v>-1379494.0464081799</v>
      </c>
      <c r="F36" s="165">
        <v>-1448468.7487285901</v>
      </c>
      <c r="G36" s="165">
        <v>-1520892.1861650201</v>
      </c>
      <c r="H36" s="165">
        <v>-1596936.7954732699</v>
      </c>
      <c r="I36" s="165">
        <v>-1676783.63524694</v>
      </c>
      <c r="J36" s="165">
        <v>-1760622.81700928</v>
      </c>
      <c r="K36" s="165">
        <v>-1848653.9578597499</v>
      </c>
      <c r="L36" s="165">
        <v>-1941086.6557527301</v>
      </c>
      <c r="M36" s="112"/>
      <c r="N36" s="111"/>
    </row>
    <row r="37" spans="1:14" ht="18" customHeight="1" x14ac:dyDescent="0.25">
      <c r="A37" s="174" t="s">
        <v>1202</v>
      </c>
      <c r="B37" s="181">
        <f t="shared" ref="B37:L37" si="4">SUBTOTAL(9,B34:B36)</f>
        <v>0</v>
      </c>
      <c r="C37" s="181">
        <f t="shared" si="4"/>
        <v>25748758.234550402</v>
      </c>
      <c r="D37" s="181">
        <f t="shared" si="4"/>
        <v>-1313803.8537220799</v>
      </c>
      <c r="E37" s="181">
        <f t="shared" si="4"/>
        <v>-1379494.0464081799</v>
      </c>
      <c r="F37" s="181">
        <f t="shared" si="4"/>
        <v>-1448468.7487285901</v>
      </c>
      <c r="G37" s="181">
        <f t="shared" si="4"/>
        <v>-1520892.1861650201</v>
      </c>
      <c r="H37" s="181">
        <f t="shared" si="4"/>
        <v>-1596936.7954732699</v>
      </c>
      <c r="I37" s="181">
        <f t="shared" si="4"/>
        <v>-1676783.63524694</v>
      </c>
      <c r="J37" s="181">
        <f t="shared" si="4"/>
        <v>-1760622.81700928</v>
      </c>
      <c r="K37" s="181">
        <f t="shared" si="4"/>
        <v>-1848653.9578597499</v>
      </c>
      <c r="L37" s="181">
        <f t="shared" si="4"/>
        <v>-1941086.6557527301</v>
      </c>
      <c r="N37" s="111"/>
    </row>
    <row r="38" spans="1:14" x14ac:dyDescent="0.25">
      <c r="A38" s="6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N38" s="111"/>
    </row>
    <row r="39" spans="1:14" x14ac:dyDescent="0.25"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N39" s="111"/>
    </row>
    <row r="40" spans="1:14" ht="18" customHeight="1" x14ac:dyDescent="0.25">
      <c r="A40" s="172" t="s">
        <v>925</v>
      </c>
      <c r="B40" s="182">
        <f>B21+B30+B37</f>
        <v>-240673.00705426186</v>
      </c>
      <c r="C40" s="182">
        <f t="shared" ref="C40:L40" si="5">C21+C30+C37</f>
        <v>-824453.48300423473</v>
      </c>
      <c r="D40" s="182">
        <f t="shared" si="5"/>
        <v>-328549.82227258314</v>
      </c>
      <c r="E40" s="182">
        <f>E21+E30+E37</f>
        <v>194104.46804275759</v>
      </c>
      <c r="F40" s="182">
        <f t="shared" si="5"/>
        <v>-123975.85642910935</v>
      </c>
      <c r="G40" s="182">
        <f t="shared" si="5"/>
        <v>-369784.27065234655</v>
      </c>
      <c r="H40" s="182">
        <f t="shared" si="5"/>
        <v>-154229.84388028062</v>
      </c>
      <c r="I40" s="182">
        <f t="shared" si="5"/>
        <v>127088.36508502811</v>
      </c>
      <c r="J40" s="182">
        <f t="shared" si="5"/>
        <v>-40097.486170413438</v>
      </c>
      <c r="K40" s="182">
        <f t="shared" si="5"/>
        <v>636799.90997608472</v>
      </c>
      <c r="L40" s="182">
        <f t="shared" si="5"/>
        <v>52670.466365765315</v>
      </c>
      <c r="N40" s="111"/>
    </row>
    <row r="41" spans="1:14" x14ac:dyDescent="0.25">
      <c r="N41" s="111"/>
    </row>
    <row r="42" spans="1:14" x14ac:dyDescent="0.25">
      <c r="A42" s="3" t="s">
        <v>926</v>
      </c>
      <c r="B42" s="108">
        <f>3050255</f>
        <v>3050255</v>
      </c>
      <c r="C42" s="108">
        <f>B44</f>
        <v>2809581.9929457381</v>
      </c>
      <c r="D42" s="108">
        <f t="shared" ref="D42:L42" si="6">C44</f>
        <v>1985128.5099415034</v>
      </c>
      <c r="E42" s="108">
        <f>D44</f>
        <v>1656578.6876689203</v>
      </c>
      <c r="F42" s="108">
        <f t="shared" si="6"/>
        <v>1850683.1557116779</v>
      </c>
      <c r="G42" s="108">
        <f t="shared" si="6"/>
        <v>1726707.2992825685</v>
      </c>
      <c r="H42" s="108">
        <f t="shared" si="6"/>
        <v>1356923.028630222</v>
      </c>
      <c r="I42" s="108">
        <f t="shared" si="6"/>
        <v>1202693.1847499413</v>
      </c>
      <c r="J42" s="108">
        <f t="shared" si="6"/>
        <v>1329781.5498349695</v>
      </c>
      <c r="K42" s="108">
        <f t="shared" si="6"/>
        <v>1289684.063664556</v>
      </c>
      <c r="L42" s="108">
        <f t="shared" si="6"/>
        <v>1926483.9736406407</v>
      </c>
      <c r="N42" s="111"/>
    </row>
    <row r="43" spans="1:14" x14ac:dyDescent="0.25">
      <c r="N43" s="111"/>
    </row>
    <row r="44" spans="1:14" ht="18" customHeight="1" thickBot="1" x14ac:dyDescent="0.3">
      <c r="A44" s="172" t="s">
        <v>927</v>
      </c>
      <c r="B44" s="178">
        <f>B40+B42</f>
        <v>2809581.9929457381</v>
      </c>
      <c r="C44" s="178">
        <f t="shared" ref="C44:L44" si="7">C40+C42</f>
        <v>1985128.5099415034</v>
      </c>
      <c r="D44" s="178">
        <f t="shared" si="7"/>
        <v>1656578.6876689203</v>
      </c>
      <c r="E44" s="178">
        <f t="shared" si="7"/>
        <v>1850683.1557116779</v>
      </c>
      <c r="F44" s="178">
        <f t="shared" si="7"/>
        <v>1726707.2992825685</v>
      </c>
      <c r="G44" s="178">
        <f t="shared" si="7"/>
        <v>1356923.028630222</v>
      </c>
      <c r="H44" s="178">
        <f t="shared" si="7"/>
        <v>1202693.1847499413</v>
      </c>
      <c r="I44" s="178">
        <f t="shared" si="7"/>
        <v>1329781.5498349695</v>
      </c>
      <c r="J44" s="178">
        <f t="shared" si="7"/>
        <v>1289684.063664556</v>
      </c>
      <c r="K44" s="178">
        <f t="shared" si="7"/>
        <v>1926483.9736406407</v>
      </c>
      <c r="L44" s="178">
        <f t="shared" si="7"/>
        <v>1979154.440006406</v>
      </c>
      <c r="N44" s="111"/>
    </row>
    <row r="45" spans="1:14" ht="15.75" thickTop="1" x14ac:dyDescent="0.25">
      <c r="N45" s="111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43"/>
  <sheetViews>
    <sheetView view="pageBreakPreview" zoomScale="115" zoomScaleNormal="100" zoomScaleSheetLayoutView="115" workbookViewId="0">
      <pane xSplit="2" ySplit="7" topLeftCell="C65" activePane="bottomRight" state="frozen"/>
      <selection activeCell="C13" sqref="C13"/>
      <selection pane="topRight" activeCell="C13" sqref="C13"/>
      <selection pane="bottomLeft" activeCell="C13" sqref="C13"/>
      <selection pane="bottomRight" activeCell="Q37" sqref="Q37"/>
    </sheetView>
  </sheetViews>
  <sheetFormatPr defaultColWidth="9.140625" defaultRowHeight="15" x14ac:dyDescent="0.25"/>
  <cols>
    <col min="1" max="1" width="3.7109375" style="44" customWidth="1"/>
    <col min="2" max="2" width="37.7109375" style="44" customWidth="1"/>
    <col min="3" max="3" width="16.28515625" style="44" customWidth="1"/>
    <col min="4" max="4" width="12.7109375" style="44" hidden="1" customWidth="1"/>
    <col min="5" max="14" width="12.7109375" style="44" customWidth="1"/>
    <col min="15" max="16384" width="9.140625" style="44"/>
  </cols>
  <sheetData>
    <row r="1" spans="1:14" ht="21" customHeight="1" x14ac:dyDescent="0.25">
      <c r="A1" s="171" t="str">
        <f>MODEL_NAME</f>
        <v>Long Term Financial Plan 2018-28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ht="21" customHeight="1" x14ac:dyDescent="0.25">
      <c r="A2" s="171" t="str">
        <f>SENARIO_NAME</f>
        <v>Option 3 PREFERRED APPROACH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8" customHeight="1" x14ac:dyDescent="0.25">
      <c r="A3" s="1" t="s">
        <v>1213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x14ac:dyDescent="0.25">
      <c r="B5" s="6"/>
      <c r="C5" s="6"/>
      <c r="D5" s="7" t="s">
        <v>7</v>
      </c>
      <c r="E5" s="170" t="s">
        <v>8</v>
      </c>
      <c r="F5" s="170" t="s">
        <v>9</v>
      </c>
      <c r="G5" s="170" t="s">
        <v>10</v>
      </c>
      <c r="H5" s="170" t="s">
        <v>11</v>
      </c>
      <c r="I5" s="170" t="s">
        <v>12</v>
      </c>
      <c r="J5" s="170" t="s">
        <v>13</v>
      </c>
      <c r="K5" s="170" t="s">
        <v>14</v>
      </c>
      <c r="L5" s="170" t="s">
        <v>15</v>
      </c>
      <c r="M5" s="170" t="s">
        <v>16</v>
      </c>
      <c r="N5" s="170" t="s">
        <v>17</v>
      </c>
    </row>
    <row r="6" spans="1:14" x14ac:dyDescent="0.25">
      <c r="B6" s="6"/>
      <c r="C6" s="6"/>
      <c r="D6" s="7">
        <f>BASE_YR</f>
        <v>2018</v>
      </c>
      <c r="E6" s="170">
        <f>D6+1</f>
        <v>2019</v>
      </c>
      <c r="F6" s="170">
        <f t="shared" ref="F6:N6" si="0">E6+1</f>
        <v>2020</v>
      </c>
      <c r="G6" s="170">
        <f t="shared" si="0"/>
        <v>2021</v>
      </c>
      <c r="H6" s="170">
        <f t="shared" si="0"/>
        <v>2022</v>
      </c>
      <c r="I6" s="170">
        <f t="shared" si="0"/>
        <v>2023</v>
      </c>
      <c r="J6" s="170">
        <f t="shared" si="0"/>
        <v>2024</v>
      </c>
      <c r="K6" s="170">
        <f t="shared" si="0"/>
        <v>2025</v>
      </c>
      <c r="L6" s="170">
        <f t="shared" si="0"/>
        <v>2026</v>
      </c>
      <c r="M6" s="170">
        <f t="shared" si="0"/>
        <v>2027</v>
      </c>
      <c r="N6" s="170">
        <f t="shared" si="0"/>
        <v>2028</v>
      </c>
    </row>
    <row r="7" spans="1:14" x14ac:dyDescent="0.25">
      <c r="B7" s="6"/>
      <c r="C7" s="43" t="s">
        <v>1116</v>
      </c>
      <c r="D7" s="7" t="s">
        <v>864</v>
      </c>
      <c r="E7" s="170" t="s">
        <v>864</v>
      </c>
      <c r="F7" s="170" t="s">
        <v>864</v>
      </c>
      <c r="G7" s="170" t="s">
        <v>864</v>
      </c>
      <c r="H7" s="170" t="s">
        <v>864</v>
      </c>
      <c r="I7" s="170" t="s">
        <v>864</v>
      </c>
      <c r="J7" s="170" t="s">
        <v>864</v>
      </c>
      <c r="K7" s="170" t="s">
        <v>864</v>
      </c>
      <c r="L7" s="170" t="s">
        <v>864</v>
      </c>
      <c r="M7" s="170" t="s">
        <v>864</v>
      </c>
      <c r="N7" s="170" t="s">
        <v>864</v>
      </c>
    </row>
    <row r="9" spans="1:14" ht="16.5" customHeight="1" x14ac:dyDescent="0.25">
      <c r="A9" s="183"/>
      <c r="B9" s="184" t="s">
        <v>1117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</row>
    <row r="10" spans="1:14" ht="21" customHeight="1" x14ac:dyDescent="0.25">
      <c r="A10" s="136">
        <v>1</v>
      </c>
      <c r="B10" s="131" t="s">
        <v>1118</v>
      </c>
      <c r="C10" s="136" t="s">
        <v>1119</v>
      </c>
      <c r="D10" s="139">
        <f>'Capital Exp Statement'!B41</f>
        <v>0</v>
      </c>
      <c r="E10" s="139">
        <f>'Capital Exp Statement'!C41</f>
        <v>0</v>
      </c>
      <c r="F10" s="139">
        <f>'Capital Exp Statement'!D41</f>
        <v>0</v>
      </c>
      <c r="G10" s="139">
        <f>'Capital Exp Statement'!E41</f>
        <v>0</v>
      </c>
      <c r="H10" s="139">
        <f>'Capital Exp Statement'!F41</f>
        <v>0</v>
      </c>
      <c r="I10" s="139">
        <f>'Capital Exp Statement'!G41</f>
        <v>0</v>
      </c>
      <c r="J10" s="139">
        <f>'Capital Exp Statement'!H41</f>
        <v>0</v>
      </c>
      <c r="K10" s="139">
        <f>'Capital Exp Statement'!I41</f>
        <v>0</v>
      </c>
      <c r="L10" s="139">
        <f>'Capital Exp Statement'!J41</f>
        <v>0</v>
      </c>
      <c r="M10" s="139">
        <f>'Capital Exp Statement'!K41</f>
        <v>0</v>
      </c>
      <c r="N10" s="139">
        <f>'Capital Exp Statement'!L41</f>
        <v>0</v>
      </c>
    </row>
    <row r="11" spans="1:14" ht="31.7" customHeight="1" x14ac:dyDescent="0.25">
      <c r="A11" s="137"/>
      <c r="B11" s="187" t="s">
        <v>1224</v>
      </c>
      <c r="C11" s="115"/>
      <c r="D11" s="140">
        <f>D10</f>
        <v>0</v>
      </c>
      <c r="E11" s="140">
        <f t="shared" ref="E11:N11" si="1">E10</f>
        <v>0</v>
      </c>
      <c r="F11" s="140">
        <f t="shared" si="1"/>
        <v>0</v>
      </c>
      <c r="G11" s="140">
        <f t="shared" si="1"/>
        <v>0</v>
      </c>
      <c r="H11" s="140">
        <f t="shared" si="1"/>
        <v>0</v>
      </c>
      <c r="I11" s="140">
        <f t="shared" si="1"/>
        <v>0</v>
      </c>
      <c r="J11" s="140">
        <f t="shared" si="1"/>
        <v>0</v>
      </c>
      <c r="K11" s="140">
        <f t="shared" si="1"/>
        <v>0</v>
      </c>
      <c r="L11" s="140">
        <f t="shared" si="1"/>
        <v>0</v>
      </c>
      <c r="M11" s="140">
        <f t="shared" si="1"/>
        <v>0</v>
      </c>
      <c r="N11" s="140">
        <f t="shared" si="1"/>
        <v>0</v>
      </c>
    </row>
    <row r="12" spans="1:14" ht="21" customHeight="1" x14ac:dyDescent="0.25">
      <c r="A12" s="136">
        <v>2</v>
      </c>
      <c r="B12" s="131" t="s">
        <v>1120</v>
      </c>
      <c r="C12" s="43" t="s">
        <v>1193</v>
      </c>
      <c r="D12" s="26">
        <f>'Note 13'!B11</f>
        <v>3.4044152211581601E-2</v>
      </c>
      <c r="E12" s="26">
        <f>'Note 13'!C11</f>
        <v>3.6936488691581643E-2</v>
      </c>
      <c r="F12" s="26">
        <f>'Note 13'!D11</f>
        <v>3.0003645003659467E-2</v>
      </c>
      <c r="G12" s="26">
        <f>'Note 13'!E11</f>
        <v>3.588621942806694E-2</v>
      </c>
      <c r="H12" s="26">
        <f>'Note 13'!F11</f>
        <v>3.6094025485746965E-2</v>
      </c>
      <c r="I12" s="26">
        <f>'Note 13'!G11</f>
        <v>3.2300628888461781E-2</v>
      </c>
      <c r="J12" s="26">
        <f>'Note 13'!H11</f>
        <v>3.0059895817089073E-2</v>
      </c>
      <c r="K12" s="26">
        <f>'Note 13'!I11</f>
        <v>2.3234337738256009E-2</v>
      </c>
      <c r="L12" s="26">
        <f>'Note 13'!J11</f>
        <v>2.4700913539949857E-2</v>
      </c>
      <c r="M12" s="26">
        <f>'Note 13'!K11</f>
        <v>2.0525431052271326E-2</v>
      </c>
      <c r="N12" s="26">
        <f>'Note 13'!L11</f>
        <v>1.7239457499245169E-2</v>
      </c>
    </row>
    <row r="13" spans="1:14" ht="48" customHeight="1" x14ac:dyDescent="0.25">
      <c r="A13" s="137"/>
      <c r="B13" s="185" t="s">
        <v>1216</v>
      </c>
      <c r="C13" s="138"/>
      <c r="D13" s="140">
        <f>D12</f>
        <v>3.4044152211581601E-2</v>
      </c>
      <c r="E13" s="140">
        <f t="shared" ref="E13:N13" si="2">E12</f>
        <v>3.6936488691581643E-2</v>
      </c>
      <c r="F13" s="140">
        <f t="shared" si="2"/>
        <v>3.0003645003659467E-2</v>
      </c>
      <c r="G13" s="140">
        <f t="shared" si="2"/>
        <v>3.588621942806694E-2</v>
      </c>
      <c r="H13" s="140">
        <f t="shared" si="2"/>
        <v>3.6094025485746965E-2</v>
      </c>
      <c r="I13" s="140">
        <f t="shared" si="2"/>
        <v>3.2300628888461781E-2</v>
      </c>
      <c r="J13" s="140">
        <f t="shared" si="2"/>
        <v>3.0059895817089073E-2</v>
      </c>
      <c r="K13" s="140">
        <f t="shared" si="2"/>
        <v>2.3234337738256009E-2</v>
      </c>
      <c r="L13" s="140">
        <f t="shared" si="2"/>
        <v>2.4700913539949857E-2</v>
      </c>
      <c r="M13" s="140">
        <f t="shared" si="2"/>
        <v>2.0525431052271326E-2</v>
      </c>
      <c r="N13" s="140">
        <f t="shared" si="2"/>
        <v>1.7239457499245169E-2</v>
      </c>
    </row>
    <row r="14" spans="1:14" ht="21" customHeight="1" x14ac:dyDescent="0.25">
      <c r="A14" s="136">
        <v>3</v>
      </c>
      <c r="B14" s="131" t="s">
        <v>1121</v>
      </c>
      <c r="C14" s="43" t="s">
        <v>1122</v>
      </c>
      <c r="D14" s="26">
        <f>'Note 13'!B17</f>
        <v>0.92117447445264078</v>
      </c>
      <c r="E14" s="26">
        <f>'Note 13'!C17</f>
        <v>0.92159617464758814</v>
      </c>
      <c r="F14" s="26">
        <f>'Note 13'!D17</f>
        <v>0.92137326658588559</v>
      </c>
      <c r="G14" s="26">
        <f>'Note 13'!E17</f>
        <v>0.9236843796300932</v>
      </c>
      <c r="H14" s="26">
        <f>'Note 13'!F17</f>
        <v>0.92455632410891597</v>
      </c>
      <c r="I14" s="26">
        <f>'Note 13'!G17</f>
        <v>0.92541653547613456</v>
      </c>
      <c r="J14" s="26">
        <f>'Note 13'!H17</f>
        <v>0.92637550249384448</v>
      </c>
      <c r="K14" s="26">
        <f>'Note 13'!I17</f>
        <v>0.92728843386047166</v>
      </c>
      <c r="L14" s="26">
        <f>'Note 13'!J17</f>
        <v>0.92818052003849261</v>
      </c>
      <c r="M14" s="26">
        <f>'Note 13'!K17</f>
        <v>0.92895782719640185</v>
      </c>
      <c r="N14" s="26">
        <f>'Note 13'!L17</f>
        <v>0.92973098803102461</v>
      </c>
    </row>
    <row r="15" spans="1:14" ht="33.950000000000003" customHeight="1" x14ac:dyDescent="0.25">
      <c r="A15" s="137"/>
      <c r="B15" s="185" t="s">
        <v>1217</v>
      </c>
      <c r="C15" s="138"/>
      <c r="D15" s="140">
        <f>D14</f>
        <v>0.92117447445264078</v>
      </c>
      <c r="E15" s="140">
        <f t="shared" ref="E15:N15" si="3">E14</f>
        <v>0.92159617464758814</v>
      </c>
      <c r="F15" s="140">
        <f t="shared" si="3"/>
        <v>0.92137326658588559</v>
      </c>
      <c r="G15" s="140">
        <f t="shared" si="3"/>
        <v>0.9236843796300932</v>
      </c>
      <c r="H15" s="140">
        <f t="shared" si="3"/>
        <v>0.92455632410891597</v>
      </c>
      <c r="I15" s="140">
        <f t="shared" si="3"/>
        <v>0.92541653547613456</v>
      </c>
      <c r="J15" s="140">
        <f t="shared" si="3"/>
        <v>0.92637550249384448</v>
      </c>
      <c r="K15" s="140">
        <f t="shared" si="3"/>
        <v>0.92728843386047166</v>
      </c>
      <c r="L15" s="140">
        <f t="shared" si="3"/>
        <v>0.92818052003849261</v>
      </c>
      <c r="M15" s="140">
        <f t="shared" si="3"/>
        <v>0.92895782719640185</v>
      </c>
      <c r="N15" s="140">
        <f t="shared" si="3"/>
        <v>0.92973098803102461</v>
      </c>
    </row>
    <row r="17" spans="1:14" ht="16.5" customHeight="1" x14ac:dyDescent="0.25">
      <c r="A17" s="184"/>
      <c r="B17" s="184" t="s">
        <v>1123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</row>
    <row r="18" spans="1:14" ht="21" customHeight="1" x14ac:dyDescent="0.25">
      <c r="A18" s="136">
        <v>4</v>
      </c>
      <c r="B18" s="131" t="s">
        <v>1124</v>
      </c>
      <c r="C18" s="136" t="s">
        <v>1214</v>
      </c>
      <c r="D18" s="139">
        <f>'Note 6 to 8'!B32</f>
        <v>2328000</v>
      </c>
      <c r="E18" s="139">
        <f>'Note 6 to 8'!C32</f>
        <v>2653328.9907617755</v>
      </c>
      <c r="F18" s="139">
        <f>'Note 6 to 8'!D32</f>
        <v>2083018.2349903136</v>
      </c>
      <c r="G18" s="139">
        <f>'Note 6 to 8'!E32</f>
        <v>1539052.3471404277</v>
      </c>
      <c r="H18" s="139">
        <f>'Note 6 to 8'!F32</f>
        <v>1778556.6711903736</v>
      </c>
      <c r="I18" s="139">
        <f>'Note 6 to 8'!G32</f>
        <v>1972393.0455161668</v>
      </c>
      <c r="J18" s="139">
        <f>'Note 6 to 8'!H32</f>
        <v>2470354.3721704967</v>
      </c>
      <c r="K18" s="139">
        <f>'Note 6 to 8'!I32</f>
        <v>1113669.5451886617</v>
      </c>
      <c r="L18" s="139">
        <f>'Note 6 to 8'!J32</f>
        <v>1681058.4558497444</v>
      </c>
      <c r="M18" s="139">
        <f>'Note 6 to 8'!K32</f>
        <v>1636883.5460130088</v>
      </c>
      <c r="N18" s="139">
        <f>'Note 6 to 8'!L32</f>
        <v>1592802.573671069</v>
      </c>
    </row>
    <row r="19" spans="1:14" ht="30" x14ac:dyDescent="0.25">
      <c r="A19" s="137"/>
      <c r="B19" s="185" t="s">
        <v>1218</v>
      </c>
      <c r="C19" s="141"/>
      <c r="D19" s="140">
        <f>D18</f>
        <v>2328000</v>
      </c>
      <c r="E19" s="140">
        <f t="shared" ref="E19:N19" si="4">E18</f>
        <v>2653328.9907617755</v>
      </c>
      <c r="F19" s="140">
        <f t="shared" si="4"/>
        <v>2083018.2349903136</v>
      </c>
      <c r="G19" s="140">
        <f t="shared" si="4"/>
        <v>1539052.3471404277</v>
      </c>
      <c r="H19" s="140">
        <f t="shared" si="4"/>
        <v>1778556.6711903736</v>
      </c>
      <c r="I19" s="140">
        <f t="shared" si="4"/>
        <v>1972393.0455161668</v>
      </c>
      <c r="J19" s="140">
        <f t="shared" si="4"/>
        <v>2470354.3721704967</v>
      </c>
      <c r="K19" s="140">
        <f t="shared" si="4"/>
        <v>1113669.5451886617</v>
      </c>
      <c r="L19" s="140">
        <f t="shared" si="4"/>
        <v>1681058.4558497444</v>
      </c>
      <c r="M19" s="140">
        <f t="shared" si="4"/>
        <v>1636883.5460130088</v>
      </c>
      <c r="N19" s="140">
        <f t="shared" si="4"/>
        <v>1592802.573671069</v>
      </c>
    </row>
    <row r="20" spans="1:14" ht="21" customHeight="1" x14ac:dyDescent="0.25">
      <c r="A20" s="136">
        <v>5</v>
      </c>
      <c r="B20" s="131" t="s">
        <v>1125</v>
      </c>
      <c r="C20" s="136" t="s">
        <v>1192</v>
      </c>
      <c r="D20" s="144">
        <f>'Note 13'!B21</f>
        <v>2.3551033769695668</v>
      </c>
      <c r="E20" s="144">
        <f>'Note 13'!C21</f>
        <v>1.8288741521359015</v>
      </c>
      <c r="F20" s="144">
        <f>'Note 13'!D21</f>
        <v>1.6867525486207726</v>
      </c>
      <c r="G20" s="144">
        <f>'Note 13'!E21</f>
        <v>1.5553109643750089</v>
      </c>
      <c r="H20" s="144">
        <f>'Note 13'!F21</f>
        <v>1.5325466339312646</v>
      </c>
      <c r="I20" s="144">
        <f>'Note 13'!G21</f>
        <v>1.5537098752709935</v>
      </c>
      <c r="J20" s="144">
        <f>'Note 13'!H21</f>
        <v>1.6135417345923442</v>
      </c>
      <c r="K20" s="144">
        <f>'Note 13'!I21</f>
        <v>1.6488950958835757</v>
      </c>
      <c r="L20" s="144">
        <f>'Note 13'!J21</f>
        <v>1.6517427434408385</v>
      </c>
      <c r="M20" s="144">
        <f>'Note 13'!K21</f>
        <v>1.6478728484293721</v>
      </c>
      <c r="N20" s="144">
        <f>'Note 13'!L21</f>
        <v>1.6257687853975229</v>
      </c>
    </row>
    <row r="21" spans="1:14" ht="36" customHeight="1" x14ac:dyDescent="0.25">
      <c r="A21" s="137"/>
      <c r="B21" s="185" t="s">
        <v>1219</v>
      </c>
      <c r="C21" s="115"/>
      <c r="D21" s="140">
        <f>D20</f>
        <v>2.3551033769695668</v>
      </c>
      <c r="E21" s="140">
        <f t="shared" ref="E21:N21" si="5">E20</f>
        <v>1.8288741521359015</v>
      </c>
      <c r="F21" s="140">
        <f t="shared" si="5"/>
        <v>1.6867525486207726</v>
      </c>
      <c r="G21" s="140">
        <f t="shared" si="5"/>
        <v>1.5553109643750089</v>
      </c>
      <c r="H21" s="140">
        <f t="shared" si="5"/>
        <v>1.5325466339312646</v>
      </c>
      <c r="I21" s="140">
        <f t="shared" si="5"/>
        <v>1.5537098752709935</v>
      </c>
      <c r="J21" s="140">
        <f t="shared" si="5"/>
        <v>1.6135417345923442</v>
      </c>
      <c r="K21" s="140">
        <f t="shared" si="5"/>
        <v>1.6488950958835757</v>
      </c>
      <c r="L21" s="140">
        <f t="shared" si="5"/>
        <v>1.6517427434408385</v>
      </c>
      <c r="M21" s="140">
        <f t="shared" si="5"/>
        <v>1.6478728484293721</v>
      </c>
      <c r="N21" s="140">
        <f t="shared" si="5"/>
        <v>1.6257687853975229</v>
      </c>
    </row>
    <row r="22" spans="1:14" ht="30.95" customHeight="1" x14ac:dyDescent="0.25">
      <c r="A22" s="142">
        <v>6</v>
      </c>
      <c r="B22" s="143" t="s">
        <v>1126</v>
      </c>
      <c r="C22" s="136" t="s">
        <v>1127</v>
      </c>
      <c r="D22" s="145">
        <f>'Note 13'!B32</f>
        <v>2.8087601488798797E-2</v>
      </c>
      <c r="E22" s="145">
        <f>'Note 13'!C32</f>
        <v>2.839878568573162E-2</v>
      </c>
      <c r="F22" s="145">
        <f>'Note 13'!D32</f>
        <v>2.9790331389322182E-2</v>
      </c>
      <c r="G22" s="145">
        <f>'Note 13'!E32</f>
        <v>3.0075636219747862E-2</v>
      </c>
      <c r="H22" s="145">
        <f>'Note 13'!F32</f>
        <v>3.0086462649752465E-2</v>
      </c>
      <c r="I22" s="145">
        <f>'Note 13'!G32</f>
        <v>3.0121903092925461E-2</v>
      </c>
      <c r="J22" s="145">
        <f>'Note 13'!H32</f>
        <v>3.0116602801750856E-2</v>
      </c>
      <c r="K22" s="145">
        <f>'Note 13'!I32</f>
        <v>3.0110991679851814E-2</v>
      </c>
      <c r="L22" s="145">
        <f>'Note 13'!J32</f>
        <v>3.010507314079338E-2</v>
      </c>
      <c r="M22" s="145">
        <f>'Note 13'!K32</f>
        <v>3.0139341415327793E-2</v>
      </c>
      <c r="N22" s="145">
        <f>'Note 13'!L32</f>
        <v>3.0173283582894169E-2</v>
      </c>
    </row>
    <row r="23" spans="1:14" ht="45" x14ac:dyDescent="0.25">
      <c r="A23" s="137"/>
      <c r="B23" s="185" t="s">
        <v>1220</v>
      </c>
      <c r="C23" s="115"/>
      <c r="D23" s="140">
        <f>D22</f>
        <v>2.8087601488798797E-2</v>
      </c>
      <c r="E23" s="140">
        <f t="shared" ref="E23:N23" si="6">E22</f>
        <v>2.839878568573162E-2</v>
      </c>
      <c r="F23" s="140">
        <f t="shared" si="6"/>
        <v>2.9790331389322182E-2</v>
      </c>
      <c r="G23" s="140">
        <f t="shared" si="6"/>
        <v>3.0075636219747862E-2</v>
      </c>
      <c r="H23" s="140">
        <f t="shared" si="6"/>
        <v>3.0086462649752465E-2</v>
      </c>
      <c r="I23" s="140">
        <f t="shared" si="6"/>
        <v>3.0121903092925461E-2</v>
      </c>
      <c r="J23" s="140">
        <f t="shared" si="6"/>
        <v>3.0116602801750856E-2</v>
      </c>
      <c r="K23" s="140">
        <f t="shared" si="6"/>
        <v>3.0110991679851814E-2</v>
      </c>
      <c r="L23" s="140">
        <f t="shared" si="6"/>
        <v>3.010507314079338E-2</v>
      </c>
      <c r="M23" s="140">
        <f t="shared" si="6"/>
        <v>3.0139341415327793E-2</v>
      </c>
      <c r="N23" s="140">
        <f t="shared" si="6"/>
        <v>3.0173283582894169E-2</v>
      </c>
    </row>
    <row r="24" spans="1:14" ht="21" customHeight="1" x14ac:dyDescent="0.25">
      <c r="A24" s="136">
        <v>7</v>
      </c>
      <c r="B24" s="131" t="s">
        <v>1128</v>
      </c>
      <c r="C24" s="136" t="s">
        <v>1129</v>
      </c>
      <c r="D24" s="144">
        <f>'Note 13'!B37</f>
        <v>4.4561004630136845</v>
      </c>
      <c r="E24" s="144">
        <f>'Note 13'!C37</f>
        <v>3.6767313104301462</v>
      </c>
      <c r="F24" s="144">
        <f>'Note 13'!D37</f>
        <v>3.4355350311208701</v>
      </c>
      <c r="G24" s="144">
        <f>'Note 13'!E37</f>
        <v>3.1417121058233066</v>
      </c>
      <c r="H24" s="144">
        <f>'Note 13'!F37</f>
        <v>3.0912729291722516</v>
      </c>
      <c r="I24" s="144">
        <f>'Note 13'!G37</f>
        <v>3.0469663975924006</v>
      </c>
      <c r="J24" s="144">
        <f>'Note 13'!H37</f>
        <v>3.0636249286520929</v>
      </c>
      <c r="K24" s="144">
        <f>'Note 13'!I37</f>
        <v>3.1241507678707694</v>
      </c>
      <c r="L24" s="144">
        <f>'Note 13'!J37</f>
        <v>3.1957118790491514</v>
      </c>
      <c r="M24" s="144">
        <f>'Note 13'!K37</f>
        <v>3.1853626569120617</v>
      </c>
      <c r="N24" s="144">
        <f>'Note 13'!L37</f>
        <v>3.2037899776168479</v>
      </c>
    </row>
    <row r="25" spans="1:14" ht="60" x14ac:dyDescent="0.25">
      <c r="A25" s="137"/>
      <c r="B25" s="185" t="s">
        <v>1221</v>
      </c>
      <c r="C25" s="115"/>
      <c r="D25" s="140">
        <f>D24</f>
        <v>4.4561004630136845</v>
      </c>
      <c r="E25" s="140">
        <f t="shared" ref="E25:N25" si="7">E24</f>
        <v>3.6767313104301462</v>
      </c>
      <c r="F25" s="140">
        <f t="shared" si="7"/>
        <v>3.4355350311208701</v>
      </c>
      <c r="G25" s="140">
        <f t="shared" si="7"/>
        <v>3.1417121058233066</v>
      </c>
      <c r="H25" s="140">
        <f t="shared" si="7"/>
        <v>3.0912729291722516</v>
      </c>
      <c r="I25" s="140">
        <f t="shared" si="7"/>
        <v>3.0469663975924006</v>
      </c>
      <c r="J25" s="140">
        <f t="shared" si="7"/>
        <v>3.0636249286520929</v>
      </c>
      <c r="K25" s="140">
        <f t="shared" si="7"/>
        <v>3.1241507678707694</v>
      </c>
      <c r="L25" s="140">
        <f t="shared" si="7"/>
        <v>3.1957118790491514</v>
      </c>
      <c r="M25" s="140">
        <f t="shared" si="7"/>
        <v>3.1853626569120617</v>
      </c>
      <c r="N25" s="140">
        <f t="shared" si="7"/>
        <v>3.2037899776168479</v>
      </c>
    </row>
    <row r="27" spans="1:14" ht="16.5" customHeight="1" x14ac:dyDescent="0.25">
      <c r="A27" s="184"/>
      <c r="B27" s="184" t="s">
        <v>1130</v>
      </c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</row>
    <row r="28" spans="1:14" ht="21" customHeight="1" x14ac:dyDescent="0.25">
      <c r="A28" s="136">
        <v>8</v>
      </c>
      <c r="B28" s="131" t="s">
        <v>1131</v>
      </c>
      <c r="C28" s="146" t="s">
        <v>1212</v>
      </c>
      <c r="D28" s="145">
        <f>'Note 13'!B26</f>
        <v>0</v>
      </c>
      <c r="E28" s="168" t="str">
        <f>'Note 13 Works'!C63</f>
        <v>12.59x</v>
      </c>
      <c r="F28" s="168" t="str">
        <f>'Note 13 Works'!D63</f>
        <v>11.95x</v>
      </c>
      <c r="G28" s="168" t="str">
        <f>'Note 13 Works'!E63</f>
        <v>12.82x</v>
      </c>
      <c r="H28" s="168" t="str">
        <f>'Note 13 Works'!F63</f>
        <v>13.23x</v>
      </c>
      <c r="I28" s="168" t="str">
        <f>'Note 13 Works'!G63</f>
        <v>13.38x</v>
      </c>
      <c r="J28" s="168" t="str">
        <f>'Note 13 Works'!H63</f>
        <v>13.63x</v>
      </c>
      <c r="K28" s="168" t="str">
        <f>'Note 13 Works'!I63</f>
        <v>13.55x</v>
      </c>
      <c r="L28" s="168" t="str">
        <f>'Note 13 Works'!J63</f>
        <v>14.06x</v>
      </c>
      <c r="M28" s="168" t="str">
        <f>'Note 13 Works'!K63</f>
        <v>14.28x</v>
      </c>
      <c r="N28" s="168" t="str">
        <f>'Note 13 Works'!L63</f>
        <v>14.5x</v>
      </c>
    </row>
    <row r="29" spans="1:14" ht="30" x14ac:dyDescent="0.25">
      <c r="A29" s="137"/>
      <c r="B29" s="186" t="s">
        <v>1222</v>
      </c>
      <c r="C29" s="138"/>
      <c r="D29" s="140">
        <f>D28</f>
        <v>0</v>
      </c>
      <c r="E29" s="140">
        <v>-1</v>
      </c>
      <c r="F29" s="140">
        <v>-1</v>
      </c>
      <c r="G29" s="140">
        <v>-1</v>
      </c>
      <c r="H29" s="140">
        <v>-1</v>
      </c>
      <c r="I29" s="140">
        <v>-1</v>
      </c>
      <c r="J29" s="140">
        <v>-1</v>
      </c>
      <c r="K29" s="140">
        <v>-1</v>
      </c>
      <c r="L29" s="140">
        <v>-1</v>
      </c>
      <c r="M29" s="140">
        <v>-1</v>
      </c>
      <c r="N29" s="140">
        <v>-1</v>
      </c>
    </row>
    <row r="30" spans="1:14" ht="21" customHeight="1" x14ac:dyDescent="0.25">
      <c r="A30" s="136">
        <v>9</v>
      </c>
      <c r="B30" s="131" t="s">
        <v>1132</v>
      </c>
      <c r="C30" s="146"/>
      <c r="D30" s="145">
        <f>'Performance Works'!B31</f>
        <v>0.42645852611162688</v>
      </c>
      <c r="E30" s="145">
        <f>'Performance Works'!C31</f>
        <v>0.42826051222998335</v>
      </c>
      <c r="F30" s="145">
        <f>'Performance Works'!D31</f>
        <v>0.43000648333377955</v>
      </c>
      <c r="G30" s="145">
        <f>'Performance Works'!E31</f>
        <v>0.43169768793302843</v>
      </c>
      <c r="H30" s="145">
        <f>'Performance Works'!F31</f>
        <v>0.43333538173972347</v>
      </c>
      <c r="I30" s="145">
        <f>'Performance Works'!G31</f>
        <v>0.4349208246031343</v>
      </c>
      <c r="J30" s="145">
        <f>'Performance Works'!H31</f>
        <v>0.43645527764679931</v>
      </c>
      <c r="K30" s="145">
        <f>'Performance Works'!I31</f>
        <v>0.43794000060318022</v>
      </c>
      <c r="L30" s="145">
        <f>'Performance Works'!J31</f>
        <v>0.439376249341206</v>
      </c>
      <c r="M30" s="145">
        <f>'Performance Works'!K31</f>
        <v>0.44076527358129453</v>
      </c>
      <c r="N30" s="145">
        <f>'Performance Works'!L31</f>
        <v>0.4421083147919127</v>
      </c>
    </row>
    <row r="31" spans="1:14" ht="32.1" customHeight="1" x14ac:dyDescent="0.25">
      <c r="A31" s="137"/>
      <c r="B31" s="186" t="s">
        <v>1223</v>
      </c>
      <c r="C31" s="138" t="s">
        <v>1133</v>
      </c>
      <c r="D31" s="140">
        <f>D30</f>
        <v>0.42645852611162688</v>
      </c>
      <c r="E31" s="140">
        <f t="shared" ref="E31:N31" si="8">E30</f>
        <v>0.42826051222998335</v>
      </c>
      <c r="F31" s="140">
        <f t="shared" si="8"/>
        <v>0.43000648333377955</v>
      </c>
      <c r="G31" s="140">
        <f t="shared" si="8"/>
        <v>0.43169768793302843</v>
      </c>
      <c r="H31" s="140">
        <f t="shared" si="8"/>
        <v>0.43333538173972347</v>
      </c>
      <c r="I31" s="140">
        <f t="shared" si="8"/>
        <v>0.4349208246031343</v>
      </c>
      <c r="J31" s="140">
        <f t="shared" si="8"/>
        <v>0.43645527764679931</v>
      </c>
      <c r="K31" s="140">
        <f t="shared" si="8"/>
        <v>0.43794000060318022</v>
      </c>
      <c r="L31" s="140">
        <f t="shared" si="8"/>
        <v>0.439376249341206</v>
      </c>
      <c r="M31" s="140">
        <f t="shared" si="8"/>
        <v>0.44076527358129453</v>
      </c>
      <c r="N31" s="140">
        <f t="shared" si="8"/>
        <v>0.4421083147919127</v>
      </c>
    </row>
    <row r="33" spans="1:14" ht="16.5" customHeight="1" x14ac:dyDescent="0.25">
      <c r="A33" s="184"/>
      <c r="B33" s="184" t="s">
        <v>1134</v>
      </c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</row>
    <row r="34" spans="1:14" ht="21" customHeight="1" x14ac:dyDescent="0.25">
      <c r="A34" s="136">
        <v>10</v>
      </c>
      <c r="B34" s="131" t="s">
        <v>1135</v>
      </c>
      <c r="C34" s="146" t="s">
        <v>1136</v>
      </c>
      <c r="D34" s="145">
        <f>'SS7'!B10</f>
        <v>1.1411430868617787</v>
      </c>
      <c r="E34" s="145">
        <f>'SS7'!C10</f>
        <v>2.280768119231344</v>
      </c>
      <c r="F34" s="145">
        <f>'SS7'!D10</f>
        <v>1.1751565050161616</v>
      </c>
      <c r="G34" s="145">
        <f>'SS7'!E10</f>
        <v>1.3097174605126052</v>
      </c>
      <c r="H34" s="145">
        <f>'SS7'!F10</f>
        <v>1.2485102785817881</v>
      </c>
      <c r="I34" s="145">
        <f>'SS7'!G10</f>
        <v>1.2279685977700259</v>
      </c>
      <c r="J34" s="145">
        <f>'SS7'!H10</f>
        <v>1.1035446969482907</v>
      </c>
      <c r="K34" s="145">
        <f>'SS7'!I10</f>
        <v>1.1184061425125242</v>
      </c>
      <c r="L34" s="145">
        <f>'SS7'!J10</f>
        <v>1.0456858639155813</v>
      </c>
      <c r="M34" s="145">
        <f>'SS7'!K10</f>
        <v>1.0289139296209631</v>
      </c>
      <c r="N34" s="145">
        <f>'SS7'!L10</f>
        <v>1.0396092045674621</v>
      </c>
    </row>
    <row r="35" spans="1:14" ht="45" x14ac:dyDescent="0.25">
      <c r="A35" s="137"/>
      <c r="B35" s="186" t="s">
        <v>1225</v>
      </c>
      <c r="C35" s="137"/>
      <c r="D35" s="140">
        <f>D34</f>
        <v>1.1411430868617787</v>
      </c>
      <c r="E35" s="140">
        <f t="shared" ref="E35:N35" si="9">E34</f>
        <v>2.280768119231344</v>
      </c>
      <c r="F35" s="140">
        <f t="shared" si="9"/>
        <v>1.1751565050161616</v>
      </c>
      <c r="G35" s="140">
        <f t="shared" si="9"/>
        <v>1.3097174605126052</v>
      </c>
      <c r="H35" s="140">
        <f t="shared" si="9"/>
        <v>1.2485102785817881</v>
      </c>
      <c r="I35" s="140">
        <f t="shared" si="9"/>
        <v>1.2279685977700259</v>
      </c>
      <c r="J35" s="140">
        <f t="shared" si="9"/>
        <v>1.1035446969482907</v>
      </c>
      <c r="K35" s="140">
        <f t="shared" si="9"/>
        <v>1.1184061425125242</v>
      </c>
      <c r="L35" s="140">
        <f t="shared" si="9"/>
        <v>1.0456858639155813</v>
      </c>
      <c r="M35" s="140">
        <f t="shared" si="9"/>
        <v>1.0289139296209631</v>
      </c>
      <c r="N35" s="140">
        <f t="shared" si="9"/>
        <v>1.0396092045674621</v>
      </c>
    </row>
    <row r="36" spans="1:14" ht="21" customHeight="1" x14ac:dyDescent="0.25">
      <c r="A36" s="136">
        <v>11</v>
      </c>
      <c r="B36" s="131" t="s">
        <v>1137</v>
      </c>
      <c r="C36" s="146" t="s">
        <v>1138</v>
      </c>
      <c r="D36" s="26">
        <f>'SS7'!B15</f>
        <v>6.1466732862549868E-3</v>
      </c>
      <c r="E36" s="26">
        <f>'SS7'!C15</f>
        <v>5.9287453422837422E-3</v>
      </c>
      <c r="F36" s="26">
        <f>'SS7'!D15</f>
        <v>5.8717344936951663E-3</v>
      </c>
      <c r="G36" s="26">
        <f>'SS7'!E15</f>
        <v>5.8227448891735702E-3</v>
      </c>
      <c r="H36" s="26">
        <f>'SS7'!F15</f>
        <v>5.7789841323411164E-3</v>
      </c>
      <c r="I36" s="26">
        <f>'SS7'!G15</f>
        <v>5.7380251383021032E-3</v>
      </c>
      <c r="J36" s="26">
        <f>'SS7'!H15</f>
        <v>5.7083361260074038E-3</v>
      </c>
      <c r="K36" s="26">
        <f>'SS7'!I15</f>
        <v>5.6762658544573059E-3</v>
      </c>
      <c r="L36" s="26">
        <f>'SS7'!J15</f>
        <v>5.6518165638506637E-3</v>
      </c>
      <c r="M36" s="26">
        <f>'SS7'!K15</f>
        <v>5.6336419122343826E-3</v>
      </c>
      <c r="N36" s="26">
        <f>'SS7'!L15</f>
        <v>5.6099091172642579E-3</v>
      </c>
    </row>
    <row r="37" spans="1:14" ht="47.65" customHeight="1" x14ac:dyDescent="0.25">
      <c r="A37" s="137"/>
      <c r="B37" s="186" t="s">
        <v>1226</v>
      </c>
      <c r="C37" s="137"/>
      <c r="D37" s="140">
        <f>D36</f>
        <v>6.1466732862549868E-3</v>
      </c>
      <c r="E37" s="140">
        <f t="shared" ref="E37:N37" si="10">E36</f>
        <v>5.9287453422837422E-3</v>
      </c>
      <c r="F37" s="140">
        <f t="shared" si="10"/>
        <v>5.8717344936951663E-3</v>
      </c>
      <c r="G37" s="140">
        <f t="shared" si="10"/>
        <v>5.8227448891735702E-3</v>
      </c>
      <c r="H37" s="140">
        <f t="shared" si="10"/>
        <v>5.7789841323411164E-3</v>
      </c>
      <c r="I37" s="140">
        <f t="shared" si="10"/>
        <v>5.7380251383021032E-3</v>
      </c>
      <c r="J37" s="140">
        <f t="shared" si="10"/>
        <v>5.7083361260074038E-3</v>
      </c>
      <c r="K37" s="140">
        <f t="shared" si="10"/>
        <v>5.6762658544573059E-3</v>
      </c>
      <c r="L37" s="140">
        <f t="shared" si="10"/>
        <v>5.6518165638506637E-3</v>
      </c>
      <c r="M37" s="140">
        <f t="shared" si="10"/>
        <v>5.6336419122343826E-3</v>
      </c>
      <c r="N37" s="140">
        <f t="shared" si="10"/>
        <v>5.6099091172642579E-3</v>
      </c>
    </row>
    <row r="38" spans="1:14" ht="21" customHeight="1" x14ac:dyDescent="0.25">
      <c r="A38" s="136">
        <v>12</v>
      </c>
      <c r="B38" s="131" t="s">
        <v>1139</v>
      </c>
      <c r="C38" s="146" t="s">
        <v>1140</v>
      </c>
      <c r="D38" s="144">
        <f>'SS7'!B20</f>
        <v>1.5478510710115174</v>
      </c>
      <c r="E38" s="144">
        <f>'SS7'!C20</f>
        <v>1.4653552390176532</v>
      </c>
      <c r="F38" s="144">
        <f>'SS7'!D20</f>
        <v>1.4668511253925418</v>
      </c>
      <c r="G38" s="144">
        <f>'SS7'!E20</f>
        <v>1.4683672194402666</v>
      </c>
      <c r="H38" s="144">
        <f>'SS7'!F20</f>
        <v>1.4746951110868975</v>
      </c>
      <c r="I38" s="144">
        <f>'SS7'!G20</f>
        <v>1.481102367177991</v>
      </c>
      <c r="J38" s="144">
        <f>'SS7'!H20</f>
        <v>1.4875893277891077</v>
      </c>
      <c r="K38" s="144">
        <f>'SS7'!I20</f>
        <v>1.4941563178068826</v>
      </c>
      <c r="L38" s="144">
        <f>'SS7'!J20</f>
        <v>1.5008036473093485</v>
      </c>
      <c r="M38" s="144">
        <f>'SS7'!K20</f>
        <v>1.5025943199107537</v>
      </c>
      <c r="N38" s="144">
        <f>'SS7'!L20</f>
        <v>1.4955580239540016</v>
      </c>
    </row>
    <row r="39" spans="1:14" ht="75" x14ac:dyDescent="0.25">
      <c r="A39" s="137"/>
      <c r="B39" s="186" t="s">
        <v>1227</v>
      </c>
      <c r="C39" s="137"/>
      <c r="D39" s="140">
        <f>D38</f>
        <v>1.5478510710115174</v>
      </c>
      <c r="E39" s="140">
        <f t="shared" ref="E39:N39" si="11">E38</f>
        <v>1.4653552390176532</v>
      </c>
      <c r="F39" s="140">
        <f t="shared" si="11"/>
        <v>1.4668511253925418</v>
      </c>
      <c r="G39" s="140">
        <f t="shared" si="11"/>
        <v>1.4683672194402666</v>
      </c>
      <c r="H39" s="140">
        <f t="shared" si="11"/>
        <v>1.4746951110868975</v>
      </c>
      <c r="I39" s="140">
        <f t="shared" si="11"/>
        <v>1.481102367177991</v>
      </c>
      <c r="J39" s="140">
        <f t="shared" si="11"/>
        <v>1.4875893277891077</v>
      </c>
      <c r="K39" s="140">
        <f t="shared" si="11"/>
        <v>1.4941563178068826</v>
      </c>
      <c r="L39" s="140">
        <f t="shared" si="11"/>
        <v>1.5008036473093485</v>
      </c>
      <c r="M39" s="140">
        <f t="shared" si="11"/>
        <v>1.5025943199107537</v>
      </c>
      <c r="N39" s="140">
        <f t="shared" si="11"/>
        <v>1.4955580239540016</v>
      </c>
    </row>
    <row r="40" spans="1:14" ht="21" customHeight="1" x14ac:dyDescent="0.25">
      <c r="A40" s="136">
        <v>13</v>
      </c>
      <c r="B40" s="131" t="s">
        <v>1141</v>
      </c>
      <c r="C40" s="146" t="s">
        <v>1140</v>
      </c>
      <c r="D40" s="144">
        <f>'SS7'!B24</f>
        <v>1.3294204355214931</v>
      </c>
      <c r="E40" s="144">
        <f>'SS7'!C24</f>
        <v>2.8492794726805237</v>
      </c>
      <c r="F40" s="144">
        <f>'SS7'!D24</f>
        <v>1.4539509403322024</v>
      </c>
      <c r="G40" s="144">
        <f>'SS7'!E24</f>
        <v>1.4979999788505007</v>
      </c>
      <c r="H40" s="144">
        <f>'SS7'!F24</f>
        <v>1.406622357348176</v>
      </c>
      <c r="I40" s="144">
        <f>'SS7'!G24</f>
        <v>1.366858085510755</v>
      </c>
      <c r="J40" s="144">
        <f>'SS7'!H24</f>
        <v>1.318684453601473</v>
      </c>
      <c r="K40" s="144">
        <f>'SS7'!I24</f>
        <v>1.2467417244898842</v>
      </c>
      <c r="L40" s="144">
        <f>'SS7'!J24</f>
        <v>1.2572268893485699</v>
      </c>
      <c r="M40" s="144">
        <f>'SS7'!K24</f>
        <v>1.2521817906667831</v>
      </c>
      <c r="N40" s="144">
        <f>'SS7'!L24</f>
        <v>1.2162103578174512</v>
      </c>
    </row>
    <row r="41" spans="1:14" ht="30" x14ac:dyDescent="0.25">
      <c r="A41" s="137"/>
      <c r="B41" s="186" t="s">
        <v>1142</v>
      </c>
      <c r="C41" s="137"/>
      <c r="D41" s="140">
        <f>D40</f>
        <v>1.3294204355214931</v>
      </c>
      <c r="E41" s="140">
        <f t="shared" ref="E41:N41" si="12">E40</f>
        <v>2.8492794726805237</v>
      </c>
      <c r="F41" s="140">
        <f t="shared" si="12"/>
        <v>1.4539509403322024</v>
      </c>
      <c r="G41" s="140">
        <f t="shared" si="12"/>
        <v>1.4979999788505007</v>
      </c>
      <c r="H41" s="140">
        <f t="shared" si="12"/>
        <v>1.406622357348176</v>
      </c>
      <c r="I41" s="140">
        <f t="shared" si="12"/>
        <v>1.366858085510755</v>
      </c>
      <c r="J41" s="140">
        <f t="shared" si="12"/>
        <v>1.318684453601473</v>
      </c>
      <c r="K41" s="140">
        <f t="shared" si="12"/>
        <v>1.2467417244898842</v>
      </c>
      <c r="L41" s="140">
        <f t="shared" si="12"/>
        <v>1.2572268893485699</v>
      </c>
      <c r="M41" s="140">
        <f t="shared" si="12"/>
        <v>1.2521817906667831</v>
      </c>
      <c r="N41" s="140">
        <f t="shared" si="12"/>
        <v>1.2162103578174512</v>
      </c>
    </row>
    <row r="42" spans="1:14" ht="21" customHeight="1" x14ac:dyDescent="0.25">
      <c r="A42" s="136">
        <v>14</v>
      </c>
      <c r="B42" s="131" t="s">
        <v>1143</v>
      </c>
      <c r="C42" s="146" t="s">
        <v>1144</v>
      </c>
      <c r="D42" s="145">
        <f>'Performance Works'!B39</f>
        <v>0.2196565963385306</v>
      </c>
      <c r="E42" s="145">
        <f>'Performance Works'!C39</f>
        <v>0.43634476843034337</v>
      </c>
      <c r="F42" s="145">
        <f>'Performance Works'!D39</f>
        <v>0.22784025550015735</v>
      </c>
      <c r="G42" s="145">
        <f>'Performance Works'!E39</f>
        <v>0.23496368374506038</v>
      </c>
      <c r="H42" s="145">
        <f>'Performance Works'!F39</f>
        <v>0.22271344408773075</v>
      </c>
      <c r="I42" s="145">
        <f>'Performance Works'!G39</f>
        <v>0.21765306724324793</v>
      </c>
      <c r="J42" s="145">
        <f>'Performance Works'!H39</f>
        <v>0.21123533639796191</v>
      </c>
      <c r="K42" s="145">
        <f>'Performance Works'!I39</f>
        <v>0.20043596589036192</v>
      </c>
      <c r="L42" s="145">
        <f>'Performance Works'!J39</f>
        <v>0.20277274863975134</v>
      </c>
      <c r="M42" s="145">
        <f>'Performance Works'!K39</f>
        <v>0.20476003401769993</v>
      </c>
      <c r="N42" s="145">
        <f>'Performance Works'!L39</f>
        <v>0.20055333313800239</v>
      </c>
    </row>
    <row r="43" spans="1:14" ht="27.75" customHeight="1" x14ac:dyDescent="0.25">
      <c r="A43" s="137"/>
      <c r="B43" s="147" t="s">
        <v>1145</v>
      </c>
      <c r="C43" s="137"/>
      <c r="D43" s="140">
        <f>D42</f>
        <v>0.2196565963385306</v>
      </c>
      <c r="E43" s="140">
        <f t="shared" ref="E43:N43" si="13">E42</f>
        <v>0.43634476843034337</v>
      </c>
      <c r="F43" s="140">
        <f t="shared" si="13"/>
        <v>0.22784025550015735</v>
      </c>
      <c r="G43" s="140">
        <f t="shared" si="13"/>
        <v>0.23496368374506038</v>
      </c>
      <c r="H43" s="140">
        <f t="shared" si="13"/>
        <v>0.22271344408773075</v>
      </c>
      <c r="I43" s="140">
        <f t="shared" si="13"/>
        <v>0.21765306724324793</v>
      </c>
      <c r="J43" s="140">
        <f t="shared" si="13"/>
        <v>0.21123533639796191</v>
      </c>
      <c r="K43" s="140">
        <f t="shared" si="13"/>
        <v>0.20043596589036192</v>
      </c>
      <c r="L43" s="140">
        <f t="shared" si="13"/>
        <v>0.20277274863975134</v>
      </c>
      <c r="M43" s="140">
        <f t="shared" si="13"/>
        <v>0.20476003401769993</v>
      </c>
      <c r="N43" s="140">
        <f t="shared" si="13"/>
        <v>0.20055333313800239</v>
      </c>
    </row>
  </sheetData>
  <conditionalFormatting sqref="D13:N13">
    <cfRule type="iconSet" priority="15">
      <iconSet iconSet="3Symbols" showValue="0">
        <cfvo type="percent" val="0"/>
        <cfvo type="num" val="-0.04"/>
        <cfvo type="num" val="-0.04"/>
      </iconSet>
    </cfRule>
  </conditionalFormatting>
  <conditionalFormatting sqref="D15:N15">
    <cfRule type="iconSet" priority="14">
      <iconSet iconSet="3Symbols" showValue="0">
        <cfvo type="percent" val="0"/>
        <cfvo type="num" val="0.6"/>
        <cfvo type="num" val="0.6"/>
      </iconSet>
    </cfRule>
  </conditionalFormatting>
  <conditionalFormatting sqref="C19">
    <cfRule type="iconSet" priority="13">
      <iconSet iconSet="3Symbols" showValue="0">
        <cfvo type="percent" val="0"/>
        <cfvo type="num" val="1"/>
        <cfvo type="num" val="1"/>
      </iconSet>
    </cfRule>
  </conditionalFormatting>
  <conditionalFormatting sqref="D19:N19">
    <cfRule type="iconSet" priority="12">
      <iconSet iconSet="3Symbols" showValue="0">
        <cfvo type="percent" val="0"/>
        <cfvo type="num" val="1000000"/>
        <cfvo type="num" val="1000000"/>
      </iconSet>
    </cfRule>
  </conditionalFormatting>
  <conditionalFormatting sqref="D21:N21">
    <cfRule type="iconSet" priority="11">
      <iconSet iconSet="3Symbols" showValue="0">
        <cfvo type="percent" val="0"/>
        <cfvo type="num" val="1.5"/>
        <cfvo type="num" val="1.5"/>
      </iconSet>
    </cfRule>
  </conditionalFormatting>
  <conditionalFormatting sqref="D23:N23">
    <cfRule type="iconSet" priority="10">
      <iconSet iconSet="3Symbols" showValue="0" reverse="1">
        <cfvo type="percent" val="0"/>
        <cfvo type="num" val="0.04"/>
        <cfvo type="num" val="0.04"/>
      </iconSet>
    </cfRule>
  </conditionalFormatting>
  <conditionalFormatting sqref="D25:N25">
    <cfRule type="iconSet" priority="9">
      <iconSet iconSet="3Symbols" showValue="0">
        <cfvo type="percent" val="0"/>
        <cfvo type="num" val="2.99"/>
        <cfvo type="num" val="2.99"/>
      </iconSet>
    </cfRule>
  </conditionalFormatting>
  <conditionalFormatting sqref="D29:N29">
    <cfRule type="iconSet" priority="8">
      <iconSet iconSet="3Symbols" showValue="0" reverse="1">
        <cfvo type="percent" val="0"/>
        <cfvo type="num" val="-0.01" gte="0"/>
        <cfvo type="num" val="-0.01" gte="0"/>
      </iconSet>
    </cfRule>
  </conditionalFormatting>
  <conditionalFormatting sqref="D31:N31">
    <cfRule type="iconSet" priority="7">
      <iconSet iconSet="3Symbols" showValue="0">
        <cfvo type="percent" val="0"/>
        <cfvo type="num" val="0.3" gte="0"/>
        <cfvo type="num" val="0.3" gte="0"/>
      </iconSet>
    </cfRule>
  </conditionalFormatting>
  <conditionalFormatting sqref="D35:N35">
    <cfRule type="iconSet" priority="6">
      <iconSet iconSet="3Symbols" showValue="0">
        <cfvo type="percent" val="0"/>
        <cfvo type="num" val="1"/>
        <cfvo type="num" val="1"/>
      </iconSet>
    </cfRule>
  </conditionalFormatting>
  <conditionalFormatting sqref="D37:N37">
    <cfRule type="iconSet" priority="5">
      <iconSet iconSet="3Symbols" showValue="0" reverse="1">
        <cfvo type="percent" val="0"/>
        <cfvo type="num" val="0.02" gte="0"/>
        <cfvo type="num" val="0.02" gte="0"/>
      </iconSet>
    </cfRule>
  </conditionalFormatting>
  <conditionalFormatting sqref="D39:N39">
    <cfRule type="iconSet" priority="4">
      <iconSet iconSet="3Symbols" showValue="0">
        <cfvo type="percent" val="0"/>
        <cfvo type="num" val="1"/>
        <cfvo type="num" val="1"/>
      </iconSet>
    </cfRule>
  </conditionalFormatting>
  <conditionalFormatting sqref="D41:N41">
    <cfRule type="iconSet" priority="3">
      <iconSet iconSet="3Symbols" showValue="0">
        <cfvo type="percent" val="0"/>
        <cfvo type="num" val="1"/>
        <cfvo type="num" val="1"/>
      </iconSet>
    </cfRule>
  </conditionalFormatting>
  <conditionalFormatting sqref="D43:N43">
    <cfRule type="iconSet" priority="2">
      <iconSet iconSet="3Symbols" showValue="0">
        <cfvo type="percent" val="0"/>
        <cfvo type="num" val="0.2"/>
        <cfvo type="num" val="0.2"/>
      </iconSet>
    </cfRule>
  </conditionalFormatting>
  <conditionalFormatting sqref="D11:N11">
    <cfRule type="iconSet" priority="1">
      <iconSet iconSet="3Symbols" showValue="0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70" firstPageNumber="21" fitToHeight="0" orientation="landscape" r:id="rId1"/>
  <rowBreaks count="1" manualBreakCount="1">
    <brk id="25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2"/>
  <sheetViews>
    <sheetView zoomScale="110" zoomScaleNormal="110" workbookViewId="0">
      <pane xSplit="1" ySplit="7" topLeftCell="B29" activePane="bottomRight" state="frozen"/>
      <selection activeCell="B23" sqref="B23"/>
      <selection pane="topRight" activeCell="B23" sqref="B23"/>
      <selection pane="bottomLeft" activeCell="B23" sqref="B23"/>
      <selection pane="bottomRight" activeCell="O48" sqref="O48"/>
    </sheetView>
  </sheetViews>
  <sheetFormatPr defaultColWidth="9.140625" defaultRowHeight="15" x14ac:dyDescent="0.25"/>
  <cols>
    <col min="1" max="1" width="51.7109375" style="44" customWidth="1"/>
    <col min="2" max="2" width="12.7109375" style="44" hidden="1" customWidth="1"/>
    <col min="3" max="12" width="12.7109375" style="44" customWidth="1"/>
    <col min="13" max="16384" width="9.140625" style="44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1" customHeight="1" x14ac:dyDescent="0.25">
      <c r="A2" s="2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ht="18" customHeight="1" x14ac:dyDescent="0.25">
      <c r="A3" s="1" t="s">
        <v>928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2" x14ac:dyDescent="0.25">
      <c r="A5" s="6"/>
      <c r="B5" s="7" t="s">
        <v>7</v>
      </c>
      <c r="C5" s="89" t="s">
        <v>8</v>
      </c>
      <c r="D5" s="89" t="s">
        <v>9</v>
      </c>
      <c r="E5" s="89" t="s">
        <v>10</v>
      </c>
      <c r="F5" s="89" t="s">
        <v>11</v>
      </c>
      <c r="G5" s="89" t="s">
        <v>12</v>
      </c>
      <c r="H5" s="89" t="s">
        <v>13</v>
      </c>
      <c r="I5" s="89" t="s">
        <v>14</v>
      </c>
      <c r="J5" s="89" t="s">
        <v>15</v>
      </c>
      <c r="K5" s="89" t="s">
        <v>16</v>
      </c>
      <c r="L5" s="89" t="s">
        <v>17</v>
      </c>
    </row>
    <row r="6" spans="1:12" x14ac:dyDescent="0.25">
      <c r="A6" s="6"/>
      <c r="B6" s="7">
        <f>BASE_YR</f>
        <v>2018</v>
      </c>
      <c r="C6" s="89">
        <f>B6+1</f>
        <v>2019</v>
      </c>
      <c r="D6" s="89">
        <f t="shared" ref="D6:L6" si="0">C6+1</f>
        <v>2020</v>
      </c>
      <c r="E6" s="89">
        <f t="shared" si="0"/>
        <v>2021</v>
      </c>
      <c r="F6" s="89">
        <f t="shared" si="0"/>
        <v>2022</v>
      </c>
      <c r="G6" s="89">
        <f t="shared" si="0"/>
        <v>2023</v>
      </c>
      <c r="H6" s="89">
        <f t="shared" si="0"/>
        <v>2024</v>
      </c>
      <c r="I6" s="89">
        <f t="shared" si="0"/>
        <v>2025</v>
      </c>
      <c r="J6" s="89">
        <f t="shared" si="0"/>
        <v>2026</v>
      </c>
      <c r="K6" s="89">
        <f t="shared" si="0"/>
        <v>2027</v>
      </c>
      <c r="L6" s="89">
        <f t="shared" si="0"/>
        <v>2028</v>
      </c>
    </row>
    <row r="7" spans="1:12" x14ac:dyDescent="0.25">
      <c r="A7" s="6"/>
      <c r="B7" s="7" t="s">
        <v>864</v>
      </c>
      <c r="C7" s="89" t="s">
        <v>864</v>
      </c>
      <c r="D7" s="89" t="s">
        <v>864</v>
      </c>
      <c r="E7" s="89" t="s">
        <v>864</v>
      </c>
      <c r="F7" s="89" t="s">
        <v>864</v>
      </c>
      <c r="G7" s="89" t="s">
        <v>864</v>
      </c>
      <c r="H7" s="89" t="s">
        <v>864</v>
      </c>
      <c r="I7" s="89" t="s">
        <v>864</v>
      </c>
      <c r="J7" s="89" t="s">
        <v>864</v>
      </c>
      <c r="K7" s="89" t="s">
        <v>864</v>
      </c>
      <c r="L7" s="89" t="s">
        <v>864</v>
      </c>
    </row>
    <row r="8" spans="1:12" x14ac:dyDescent="0.25">
      <c r="A8" s="96" t="s">
        <v>929</v>
      </c>
    </row>
    <row r="9" spans="1:12" x14ac:dyDescent="0.25">
      <c r="A9" s="6" t="s">
        <v>749</v>
      </c>
      <c r="B9" s="108">
        <f>-'Note 3'!C29</f>
        <v>108227480</v>
      </c>
      <c r="C9" s="108">
        <f>-'Note 3'!D29</f>
        <v>115279382.27179433</v>
      </c>
      <c r="D9" s="108">
        <f>-'Note 3'!E29</f>
        <v>116364119.26208761</v>
      </c>
      <c r="E9" s="108">
        <f>-'Note 3'!F29</f>
        <v>122245604.68648025</v>
      </c>
      <c r="F9" s="108">
        <f>-'Note 3'!G29</f>
        <v>125841668.85836551</v>
      </c>
      <c r="G9" s="108">
        <f>-'Note 3'!H29</f>
        <v>129541204.3563398</v>
      </c>
      <c r="H9" s="108">
        <f>-'Note 3'!I29</f>
        <v>133531677.90577382</v>
      </c>
      <c r="I9" s="108">
        <f>-'Note 3'!J29</f>
        <v>137642355.69215453</v>
      </c>
      <c r="J9" s="108">
        <f>-'Note 3'!K29</f>
        <v>141876805.18988752</v>
      </c>
      <c r="K9" s="108">
        <f>-'Note 3'!L29</f>
        <v>146036021.62224042</v>
      </c>
      <c r="L9" s="108">
        <f>-'Note 3'!M29</f>
        <v>150314610.95472181</v>
      </c>
    </row>
    <row r="10" spans="1:12" x14ac:dyDescent="0.25">
      <c r="A10" s="6" t="s">
        <v>28</v>
      </c>
      <c r="B10" s="108">
        <f>-'Note 3'!C71</f>
        <v>17946681</v>
      </c>
      <c r="C10" s="108">
        <f>-'Note 3'!D71</f>
        <v>18543010.293398399</v>
      </c>
      <c r="D10" s="108">
        <f>-'Note 3'!E71</f>
        <v>19159674.658883695</v>
      </c>
      <c r="E10" s="108">
        <f>-'Note 3'!F71</f>
        <v>19797381.918857876</v>
      </c>
      <c r="F10" s="108">
        <f>-'Note 3'!G71</f>
        <v>20456864.921248343</v>
      </c>
      <c r="G10" s="108">
        <f>-'Note 3'!H71</f>
        <v>21138882.434534717</v>
      </c>
      <c r="H10" s="108">
        <f>-'Note 3'!I71</f>
        <v>21851121.665150501</v>
      </c>
      <c r="I10" s="108">
        <f>-'Note 3'!J71</f>
        <v>22587874.035392508</v>
      </c>
      <c r="J10" s="108">
        <f>-'Note 3'!K71</f>
        <v>23349997.475333672</v>
      </c>
      <c r="K10" s="108">
        <f>-'Note 3'!L71</f>
        <v>24130838.775417753</v>
      </c>
      <c r="L10" s="108">
        <f>-'Note 3'!M71</f>
        <v>24938444.551140621</v>
      </c>
    </row>
    <row r="11" spans="1:12" x14ac:dyDescent="0.25">
      <c r="A11" s="6" t="s">
        <v>867</v>
      </c>
      <c r="B11" s="108">
        <f>-'Note 3'!C81</f>
        <v>1805827</v>
      </c>
      <c r="C11" s="108">
        <f>-'Note 3'!D81</f>
        <v>1279647.6403627086</v>
      </c>
      <c r="D11" s="108">
        <f>-'Note 3'!E81</f>
        <v>1256975.1457739754</v>
      </c>
      <c r="E11" s="108">
        <f>-'Note 3'!F81</f>
        <v>1202395.9955940337</v>
      </c>
      <c r="F11" s="108">
        <f>-'Note 3'!G81</f>
        <v>1224214.6379911867</v>
      </c>
      <c r="G11" s="108">
        <f>-'Note 3'!H81</f>
        <v>1262448.133510594</v>
      </c>
      <c r="H11" s="108">
        <f>-'Note 3'!I81</f>
        <v>1396037.4316895443</v>
      </c>
      <c r="I11" s="108">
        <f>-'Note 3'!J81</f>
        <v>1471715.0467520119</v>
      </c>
      <c r="J11" s="108">
        <f>-'Note 3'!K81</f>
        <v>1547572.2017682134</v>
      </c>
      <c r="K11" s="108">
        <f>-'Note 3'!L81</f>
        <v>1571414.0722659966</v>
      </c>
      <c r="L11" s="108">
        <f>-'Note 3'!M81</f>
        <v>1630245.9802752854</v>
      </c>
    </row>
    <row r="12" spans="1:12" x14ac:dyDescent="0.25">
      <c r="A12" s="6" t="s">
        <v>868</v>
      </c>
      <c r="B12" s="108">
        <f>-'Note 3'!C94</f>
        <v>8542325</v>
      </c>
      <c r="C12" s="108">
        <f>-'Note 3'!D94</f>
        <v>8584499.4285376128</v>
      </c>
      <c r="D12" s="108">
        <f>-'Note 3'!E94</f>
        <v>8874800.6793024503</v>
      </c>
      <c r="E12" s="108">
        <f>-'Note 3'!F94</f>
        <v>9144949.9303555079</v>
      </c>
      <c r="F12" s="108">
        <f>-'Note 3'!G94</f>
        <v>9423453.1623671427</v>
      </c>
      <c r="G12" s="108">
        <f>-'Note 3'!H94</f>
        <v>9710712.0748328343</v>
      </c>
      <c r="H12" s="108">
        <f>-'Note 3'!I94</f>
        <v>10007240.941164471</v>
      </c>
      <c r="I12" s="108">
        <f>-'Note 3'!J94</f>
        <v>10313369.979445273</v>
      </c>
      <c r="J12" s="108">
        <f>-'Note 3'!K94</f>
        <v>10628822.9806192</v>
      </c>
      <c r="K12" s="108">
        <f>-'Note 3'!L94</f>
        <v>10954223.966608299</v>
      </c>
      <c r="L12" s="108">
        <f>-'Note 3'!M94</f>
        <v>11289894.89072139</v>
      </c>
    </row>
    <row r="13" spans="1:12" x14ac:dyDescent="0.25">
      <c r="A13" s="6" t="s">
        <v>869</v>
      </c>
      <c r="B13" s="108">
        <f>-'Note 3'!C128</f>
        <v>6463755</v>
      </c>
      <c r="C13" s="108">
        <f>-'Note 3'!D128</f>
        <v>7081573.8749999991</v>
      </c>
      <c r="D13" s="108">
        <f>-'Note 3'!E128</f>
        <v>7230013.2218749989</v>
      </c>
      <c r="E13" s="108">
        <f>-'Note 3'!F128</f>
        <v>7382163.5524218734</v>
      </c>
      <c r="F13" s="108">
        <f>-'Note 3'!G128</f>
        <v>7538117.6412324198</v>
      </c>
      <c r="G13" s="108">
        <f>-'Note 3'!H128</f>
        <v>7697970.5822632285</v>
      </c>
      <c r="H13" s="108">
        <f>-'Note 3'!I128</f>
        <v>7861819.8468198096</v>
      </c>
      <c r="I13" s="108">
        <f>-'Note 3'!J128</f>
        <v>8029765.3429903034</v>
      </c>
      <c r="J13" s="108">
        <f>-'Note 3'!K128</f>
        <v>8201909.4765650611</v>
      </c>
      <c r="K13" s="108">
        <f>-'Note 3'!L128</f>
        <v>8378357.2134791864</v>
      </c>
      <c r="L13" s="108">
        <f>-'Note 3'!M128</f>
        <v>8559216.1438161656</v>
      </c>
    </row>
    <row r="14" spans="1:12" ht="18.75" customHeight="1" x14ac:dyDescent="0.25">
      <c r="A14" s="107" t="s">
        <v>930</v>
      </c>
      <c r="B14" s="109">
        <f t="shared" ref="B14:L14" si="1">SUBTOTAL(9,B9:B13)</f>
        <v>142986068</v>
      </c>
      <c r="C14" s="109">
        <f t="shared" si="1"/>
        <v>150768113.50909305</v>
      </c>
      <c r="D14" s="109">
        <f t="shared" si="1"/>
        <v>152885582.96792275</v>
      </c>
      <c r="E14" s="109">
        <f t="shared" si="1"/>
        <v>159772496.08370954</v>
      </c>
      <c r="F14" s="109">
        <f t="shared" si="1"/>
        <v>164484319.22120461</v>
      </c>
      <c r="G14" s="109">
        <f t="shared" si="1"/>
        <v>169351217.58148116</v>
      </c>
      <c r="H14" s="109">
        <f t="shared" si="1"/>
        <v>174647897.79059812</v>
      </c>
      <c r="I14" s="109">
        <f t="shared" si="1"/>
        <v>180045080.09673464</v>
      </c>
      <c r="J14" s="109">
        <f t="shared" si="1"/>
        <v>185605107.32417366</v>
      </c>
      <c r="K14" s="109">
        <f t="shared" si="1"/>
        <v>191070855.65001163</v>
      </c>
      <c r="L14" s="109">
        <f t="shared" si="1"/>
        <v>196732412.52067524</v>
      </c>
    </row>
    <row r="16" spans="1:12" x14ac:dyDescent="0.25">
      <c r="A16" s="96" t="s">
        <v>931</v>
      </c>
    </row>
    <row r="17" spans="1:12" x14ac:dyDescent="0.25">
      <c r="A17" s="6" t="s">
        <v>80</v>
      </c>
      <c r="B17" s="108">
        <f>'Note 4 to 5'!C21</f>
        <v>62033885.766044669</v>
      </c>
      <c r="C17" s="108">
        <f>'Note 4 to 5'!D21</f>
        <v>64355997.331255168</v>
      </c>
      <c r="D17" s="108">
        <f>'Note 4 to 5'!E21</f>
        <v>66715788.442652471</v>
      </c>
      <c r="E17" s="108">
        <f>'Note 4 to 5'!F21</f>
        <v>69165055.916526094</v>
      </c>
      <c r="F17" s="108">
        <f>'Note 4 to 5'!G21</f>
        <v>71957174.841981485</v>
      </c>
      <c r="G17" s="108">
        <f>'Note 4 to 5'!H21</f>
        <v>74866182.169479236</v>
      </c>
      <c r="H17" s="108">
        <f>'Note 4 to 5'!I21</f>
        <v>77897071.794142574</v>
      </c>
      <c r="I17" s="108">
        <f>'Note 4 to 5'!J21</f>
        <v>81055053.087648869</v>
      </c>
      <c r="J17" s="108">
        <f>'Note 4 to 5'!K21</f>
        <v>84345560.230248854</v>
      </c>
      <c r="K17" s="108">
        <f>'Note 4 to 5'!L21</f>
        <v>87469240.325627342</v>
      </c>
      <c r="L17" s="108">
        <f>'Note 4 to 5'!M21</f>
        <v>90712218.613365591</v>
      </c>
    </row>
    <row r="18" spans="1:12" x14ac:dyDescent="0.25">
      <c r="A18" s="6" t="s">
        <v>875</v>
      </c>
      <c r="B18" s="108">
        <f>'Note 4 to 5'!C24</f>
        <v>0</v>
      </c>
      <c r="C18" s="108">
        <f>'Note 4 to 5'!D24</f>
        <v>1350000</v>
      </c>
      <c r="D18" s="108">
        <f>'Note 4 to 5'!E24</f>
        <v>1287437.9117275202</v>
      </c>
      <c r="E18" s="108">
        <f>'Note 4 to 5'!F24</f>
        <v>1221747.7190414162</v>
      </c>
      <c r="F18" s="108">
        <f>'Note 4 to 5'!G24</f>
        <v>1152773.0167210072</v>
      </c>
      <c r="G18" s="108">
        <f>'Note 4 to 5'!H24</f>
        <v>1080349.5792845774</v>
      </c>
      <c r="H18" s="108">
        <f>'Note 4 to 5'!I24</f>
        <v>1004304.9699763265</v>
      </c>
      <c r="I18" s="108">
        <f>'Note 4 to 5'!J24</f>
        <v>924458.13020266301</v>
      </c>
      <c r="J18" s="108">
        <f>'Note 4 to 5'!K24</f>
        <v>840618.94844031613</v>
      </c>
      <c r="K18" s="108">
        <f>'Note 4 to 5'!L24</f>
        <v>752587.80758985213</v>
      </c>
      <c r="L18" s="108">
        <f>'Note 4 to 5'!M24</f>
        <v>660155.10969686473</v>
      </c>
    </row>
    <row r="19" spans="1:12" x14ac:dyDescent="0.25">
      <c r="A19" s="6" t="s">
        <v>36</v>
      </c>
      <c r="B19" s="108">
        <f>'Note 4 to 5'!C39</f>
        <v>36686881</v>
      </c>
      <c r="C19" s="108">
        <f>'Note 4 to 5'!D39</f>
        <v>37604053.024999999</v>
      </c>
      <c r="D19" s="108">
        <f>'Note 4 to 5'!E39</f>
        <v>38544154.350625001</v>
      </c>
      <c r="E19" s="108">
        <f>'Note 4 to 5'!F39</f>
        <v>39507758.209390625</v>
      </c>
      <c r="F19" s="108">
        <f>'Note 4 to 5'!G39</f>
        <v>40495452.164625399</v>
      </c>
      <c r="G19" s="108">
        <f>'Note 4 to 5'!H39</f>
        <v>41507838.468741022</v>
      </c>
      <c r="H19" s="108">
        <f>'Note 4 to 5'!I39</f>
        <v>42545534.430459559</v>
      </c>
      <c r="I19" s="108">
        <f>'Note 4 to 5'!J39</f>
        <v>43609172.791221038</v>
      </c>
      <c r="J19" s="108">
        <f>'Note 4 to 5'!K39</f>
        <v>44699402.111001574</v>
      </c>
      <c r="K19" s="108">
        <f>'Note 4 to 5'!L39</f>
        <v>45816887.163776614</v>
      </c>
      <c r="L19" s="108">
        <f>'Note 4 to 5'!M39</f>
        <v>46962309.342871025</v>
      </c>
    </row>
    <row r="20" spans="1:12" x14ac:dyDescent="0.25">
      <c r="A20" s="6" t="s">
        <v>853</v>
      </c>
      <c r="B20" s="108">
        <f>'Note 4 to 5'!C58</f>
        <v>23528982</v>
      </c>
      <c r="C20" s="108">
        <f>'Note 4 to 5'!D58</f>
        <v>22822754.025585577</v>
      </c>
      <c r="D20" s="108">
        <f>'Note 4 to 5'!E58</f>
        <v>23802379.839880958</v>
      </c>
      <c r="E20" s="108">
        <f>'Note 4 to 5'!F58</f>
        <v>24845621.932583559</v>
      </c>
      <c r="F20" s="108">
        <f>'Note 4 to 5'!G58</f>
        <v>25745440.298295461</v>
      </c>
      <c r="G20" s="108">
        <f>'Note 4 to 5'!H58</f>
        <v>26607354.454380278</v>
      </c>
      <c r="H20" s="108">
        <f>'Note 4 to 5'!I58</f>
        <v>27716740.51252811</v>
      </c>
      <c r="I20" s="108">
        <f>'Note 4 to 5'!J58</f>
        <v>28506447.635382351</v>
      </c>
      <c r="J20" s="108">
        <f>'Note 4 to 5'!K58</f>
        <v>29591737.265016958</v>
      </c>
      <c r="K20" s="108">
        <f>'Note 4 to 5'!L58</f>
        <v>30948956.723557297</v>
      </c>
      <c r="L20" s="108">
        <f>'Note 4 to 5'!M58</f>
        <v>31969887.873776428</v>
      </c>
    </row>
    <row r="21" spans="1:12" x14ac:dyDescent="0.25">
      <c r="A21" s="6" t="s">
        <v>85</v>
      </c>
      <c r="B21" s="108">
        <f>'Note 4 to 5'!C86</f>
        <v>15863984</v>
      </c>
      <c r="C21" s="108">
        <f>'Note 4 to 5'!D86</f>
        <v>16064128.831686577</v>
      </c>
      <c r="D21" s="108">
        <f>'Note 4 to 5'!E86</f>
        <v>16537994.952870201</v>
      </c>
      <c r="E21" s="108">
        <f>'Note 4 to 5'!F86</f>
        <v>17752889.276368797</v>
      </c>
      <c r="F21" s="108">
        <f>'Note 4 to 5'!G86</f>
        <v>17604416.291482236</v>
      </c>
      <c r="G21" s="108">
        <f>'Note 4 to 5'!H86</f>
        <v>18167832.226387184</v>
      </c>
      <c r="H21" s="108">
        <f>'Note 4 to 5'!I86</f>
        <v>18752846.68668016</v>
      </c>
      <c r="I21" s="108">
        <f>'Note 4 to 5'!J86</f>
        <v>20125310.739949811</v>
      </c>
      <c r="J21" s="108">
        <f>'Note 4 to 5'!K86</f>
        <v>19990733.378533676</v>
      </c>
      <c r="K21" s="108">
        <f>'Note 4 to 5'!L86</f>
        <v>20646178.713794097</v>
      </c>
      <c r="L21" s="108">
        <f>'Note 4 to 5'!M86</f>
        <v>21327335.211392652</v>
      </c>
    </row>
    <row r="22" spans="1:12" ht="18" customHeight="1" x14ac:dyDescent="0.25">
      <c r="A22" s="107" t="s">
        <v>878</v>
      </c>
      <c r="B22" s="109">
        <f t="shared" ref="B22:L22" si="2">SUBTOTAL(9,B17:B21)</f>
        <v>138113732.76604468</v>
      </c>
      <c r="C22" s="109">
        <f t="shared" si="2"/>
        <v>142196933.21352732</v>
      </c>
      <c r="D22" s="109">
        <f t="shared" si="2"/>
        <v>146887755.49775615</v>
      </c>
      <c r="E22" s="109">
        <f t="shared" si="2"/>
        <v>152493073.05391049</v>
      </c>
      <c r="F22" s="109">
        <f t="shared" si="2"/>
        <v>156955256.6131056</v>
      </c>
      <c r="G22" s="109">
        <f t="shared" si="2"/>
        <v>162229556.89827228</v>
      </c>
      <c r="H22" s="109">
        <f t="shared" si="2"/>
        <v>167916498.39378673</v>
      </c>
      <c r="I22" s="109">
        <f t="shared" si="2"/>
        <v>174220442.38440475</v>
      </c>
      <c r="J22" s="109">
        <f t="shared" si="2"/>
        <v>179468051.93324137</v>
      </c>
      <c r="K22" s="109">
        <f t="shared" si="2"/>
        <v>185633850.7343452</v>
      </c>
      <c r="L22" s="109">
        <f t="shared" si="2"/>
        <v>191631906.15110254</v>
      </c>
    </row>
    <row r="24" spans="1:12" ht="18" customHeight="1" x14ac:dyDescent="0.25">
      <c r="A24" s="113" t="s">
        <v>932</v>
      </c>
      <c r="B24" s="114">
        <f t="shared" ref="B24:L24" si="3">B14-B22</f>
        <v>4872335.2339553237</v>
      </c>
      <c r="C24" s="114">
        <f t="shared" si="3"/>
        <v>8571180.2955657244</v>
      </c>
      <c r="D24" s="114">
        <f t="shared" si="3"/>
        <v>5997827.4701665938</v>
      </c>
      <c r="E24" s="114">
        <f t="shared" si="3"/>
        <v>7279423.0297990441</v>
      </c>
      <c r="F24" s="114">
        <f t="shared" si="3"/>
        <v>7529062.6080990136</v>
      </c>
      <c r="G24" s="114">
        <f t="shared" si="3"/>
        <v>7121660.6832088828</v>
      </c>
      <c r="H24" s="114">
        <f t="shared" si="3"/>
        <v>6731399.3968113959</v>
      </c>
      <c r="I24" s="114">
        <f t="shared" si="3"/>
        <v>5824637.7123298943</v>
      </c>
      <c r="J24" s="114">
        <f t="shared" si="3"/>
        <v>6137055.3909322917</v>
      </c>
      <c r="K24" s="114">
        <f t="shared" si="3"/>
        <v>5437004.9156664312</v>
      </c>
      <c r="L24" s="114">
        <f t="shared" si="3"/>
        <v>5100506.3695726991</v>
      </c>
    </row>
    <row r="26" spans="1:12" x14ac:dyDescent="0.25">
      <c r="A26" s="6" t="s">
        <v>933</v>
      </c>
      <c r="B26" s="108">
        <f>-'Note 3'!C153</f>
        <v>5086495</v>
      </c>
      <c r="C26" s="108">
        <f>-'Note 3'!D153</f>
        <v>5142407.375</v>
      </c>
      <c r="D26" s="108">
        <f>-'Note 3'!E153</f>
        <v>5199717.5593749993</v>
      </c>
      <c r="E26" s="108">
        <f>-'Note 3'!F153</f>
        <v>5208460.4983593747</v>
      </c>
      <c r="F26" s="108">
        <f>-'Note 3'!G153</f>
        <v>5268672.0108183585</v>
      </c>
      <c r="G26" s="108">
        <f>-'Note 3'!H153</f>
        <v>5330388.8110888172</v>
      </c>
      <c r="H26" s="108">
        <f>-'Note 3'!I153</f>
        <v>5393648.5313660372</v>
      </c>
      <c r="I26" s="108">
        <f>-'Note 3'!J153</f>
        <v>5458489.7446501888</v>
      </c>
      <c r="J26" s="108">
        <f>-'Note 3'!K153</f>
        <v>5524951.9882664429</v>
      </c>
      <c r="K26" s="108">
        <f>-'Note 3'!L153</f>
        <v>5593075.7879731031</v>
      </c>
      <c r="L26" s="108">
        <f>-'Note 3'!M153</f>
        <v>5662902.6826724308</v>
      </c>
    </row>
    <row r="28" spans="1:12" ht="18" customHeight="1" x14ac:dyDescent="0.25">
      <c r="A28" s="113" t="s">
        <v>934</v>
      </c>
      <c r="B28" s="114">
        <f t="shared" ref="B28:L28" si="4">B24+B26</f>
        <v>9958830.2339553237</v>
      </c>
      <c r="C28" s="114">
        <f t="shared" si="4"/>
        <v>13713587.670565724</v>
      </c>
      <c r="D28" s="114">
        <f t="shared" si="4"/>
        <v>11197545.029541593</v>
      </c>
      <c r="E28" s="114">
        <f t="shared" si="4"/>
        <v>12487883.528158419</v>
      </c>
      <c r="F28" s="114">
        <f t="shared" si="4"/>
        <v>12797734.618917372</v>
      </c>
      <c r="G28" s="114">
        <f t="shared" si="4"/>
        <v>12452049.4942977</v>
      </c>
      <c r="H28" s="114">
        <f t="shared" si="4"/>
        <v>12125047.928177433</v>
      </c>
      <c r="I28" s="114">
        <f t="shared" si="4"/>
        <v>11283127.456980083</v>
      </c>
      <c r="J28" s="114">
        <f t="shared" si="4"/>
        <v>11662007.379198734</v>
      </c>
      <c r="K28" s="114">
        <f t="shared" si="4"/>
        <v>11030080.703639533</v>
      </c>
      <c r="L28" s="114">
        <f t="shared" si="4"/>
        <v>10763409.052245129</v>
      </c>
    </row>
    <row r="30" spans="1:12" x14ac:dyDescent="0.25">
      <c r="A30" s="6" t="s">
        <v>935</v>
      </c>
      <c r="B30" s="108">
        <f>B20</f>
        <v>23528982</v>
      </c>
      <c r="C30" s="108">
        <f t="shared" ref="C30:L30" si="5">C20</f>
        <v>22822754.025585577</v>
      </c>
      <c r="D30" s="108">
        <f t="shared" si="5"/>
        <v>23802379.839880958</v>
      </c>
      <c r="E30" s="108">
        <f t="shared" si="5"/>
        <v>24845621.932583559</v>
      </c>
      <c r="F30" s="108">
        <f t="shared" si="5"/>
        <v>25745440.298295461</v>
      </c>
      <c r="G30" s="108">
        <f t="shared" si="5"/>
        <v>26607354.454380278</v>
      </c>
      <c r="H30" s="108">
        <f t="shared" si="5"/>
        <v>27716740.51252811</v>
      </c>
      <c r="I30" s="108">
        <f t="shared" si="5"/>
        <v>28506447.635382351</v>
      </c>
      <c r="J30" s="108">
        <f t="shared" si="5"/>
        <v>29591737.265016958</v>
      </c>
      <c r="K30" s="108">
        <f t="shared" si="5"/>
        <v>30948956.723557297</v>
      </c>
      <c r="L30" s="108">
        <f t="shared" si="5"/>
        <v>31969887.873776428</v>
      </c>
    </row>
    <row r="32" spans="1:12" ht="18" customHeight="1" x14ac:dyDescent="0.25">
      <c r="A32" s="113" t="s">
        <v>936</v>
      </c>
      <c r="B32" s="114">
        <f>B30+B28</f>
        <v>33487812.233955324</v>
      </c>
      <c r="C32" s="114">
        <f t="shared" ref="C32:L32" si="6">C30+C28</f>
        <v>36536341.696151301</v>
      </c>
      <c r="D32" s="114">
        <f t="shared" si="6"/>
        <v>34999924.869422555</v>
      </c>
      <c r="E32" s="114">
        <f t="shared" si="6"/>
        <v>37333505.460741982</v>
      </c>
      <c r="F32" s="114">
        <f t="shared" si="6"/>
        <v>38543174.917212829</v>
      </c>
      <c r="G32" s="114">
        <f t="shared" si="6"/>
        <v>39059403.948677979</v>
      </c>
      <c r="H32" s="114">
        <f t="shared" si="6"/>
        <v>39841788.440705545</v>
      </c>
      <c r="I32" s="114">
        <f t="shared" si="6"/>
        <v>39789575.092362434</v>
      </c>
      <c r="J32" s="114">
        <f t="shared" si="6"/>
        <v>41253744.644215688</v>
      </c>
      <c r="K32" s="114">
        <f t="shared" si="6"/>
        <v>41979037.427196831</v>
      </c>
      <c r="L32" s="114">
        <f t="shared" si="6"/>
        <v>42733296.926021561</v>
      </c>
    </row>
    <row r="34" spans="1:12" x14ac:dyDescent="0.25">
      <c r="A34" s="6" t="s">
        <v>937</v>
      </c>
      <c r="B34" s="108">
        <f>-'Cashflow Statement'!B29</f>
        <v>32240509.272858489</v>
      </c>
      <c r="C34" s="108">
        <f>-'Cashflow Statement'!C29</f>
        <v>70004659.314477026</v>
      </c>
      <c r="D34" s="108">
        <f>-'Cashflow Statement'!D29</f>
        <v>36922067.558536939</v>
      </c>
      <c r="E34" s="108">
        <f>-'Cashflow Statement'!E29</f>
        <v>40821220.253953196</v>
      </c>
      <c r="F34" s="108">
        <f>-'Cashflow Statement'!F29</f>
        <v>39241432.408809215</v>
      </c>
      <c r="G34" s="108">
        <f>-'Cashflow Statement'!G29</f>
        <v>39345870.177920729</v>
      </c>
      <c r="H34" s="108">
        <f>-'Cashflow Statement'!H29</f>
        <v>40023696.892302975</v>
      </c>
      <c r="I34" s="108">
        <f>-'Cashflow Statement'!I29</f>
        <v>38523405.27991873</v>
      </c>
      <c r="J34" s="108">
        <f>-'Cashflow Statement'!J29</f>
        <v>40351251.859787583</v>
      </c>
      <c r="K34" s="108">
        <f>-'Cashflow Statement'!K29</f>
        <v>42693360.656777114</v>
      </c>
      <c r="L34" s="108">
        <f>-'Cashflow Statement'!L29</f>
        <v>41877970.383473642</v>
      </c>
    </row>
    <row r="35" spans="1:12" x14ac:dyDescent="0.25">
      <c r="A35" s="6" t="s">
        <v>1199</v>
      </c>
      <c r="B35" s="108">
        <v>0</v>
      </c>
      <c r="C35" s="165">
        <v>-27000000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</row>
    <row r="36" spans="1:12" x14ac:dyDescent="0.25">
      <c r="A36" s="6" t="s">
        <v>1200</v>
      </c>
      <c r="B36" s="108">
        <v>0</v>
      </c>
      <c r="C36" s="108">
        <v>1251241.7654495984</v>
      </c>
      <c r="D36" s="108">
        <v>1313803.8537220783</v>
      </c>
      <c r="E36" s="108">
        <v>1379494.0464081822</v>
      </c>
      <c r="F36" s="108">
        <v>1448468.7487285913</v>
      </c>
      <c r="G36" s="108">
        <v>1520892.186165021</v>
      </c>
      <c r="H36" s="108">
        <v>1596936.795473272</v>
      </c>
      <c r="I36" s="108">
        <v>1676783.6352469353</v>
      </c>
      <c r="J36" s="108">
        <v>1760622.8170092823</v>
      </c>
      <c r="K36" s="108">
        <v>1848653.9578597462</v>
      </c>
      <c r="L36" s="108">
        <v>1941086.6557527338</v>
      </c>
    </row>
    <row r="37" spans="1:12" x14ac:dyDescent="0.25">
      <c r="A37" s="115" t="s">
        <v>938</v>
      </c>
      <c r="B37" s="116">
        <f>-'Cashflow Statement'!B26</f>
        <v>-1339990.6518488859</v>
      </c>
      <c r="C37" s="116">
        <f>-'Cashflow Statement'!C26</f>
        <v>-1986233.3683395316</v>
      </c>
      <c r="D37" s="116">
        <f>-'Cashflow Statement'!D26</f>
        <v>-979417.60729948338</v>
      </c>
      <c r="E37" s="116">
        <f>-'Cashflow Statement'!E26</f>
        <v>-2089128.6379180767</v>
      </c>
      <c r="F37" s="116">
        <f>-'Cashflow Statement'!F26</f>
        <v>-1504475.077432828</v>
      </c>
      <c r="G37" s="116">
        <f>-'Cashflow Statement'!G26</f>
        <v>-1386375.8509533047</v>
      </c>
      <c r="H37" s="116">
        <f>-'Cashflow Statement'!H26</f>
        <v>-2038991.9966346384</v>
      </c>
      <c r="I37" s="116">
        <f>-'Cashflow Statement'!I26</f>
        <v>-1416092.316169546</v>
      </c>
      <c r="J37" s="116">
        <f>-'Cashflow Statement'!J26</f>
        <v>-1653005.9333907163</v>
      </c>
      <c r="K37" s="116">
        <f>-'Cashflow Statement'!K26</f>
        <v>-2472224.7518494073</v>
      </c>
      <c r="L37" s="116">
        <f>-'Cashflow Statement'!L26</f>
        <v>-1375635.6111985457</v>
      </c>
    </row>
    <row r="38" spans="1:12" x14ac:dyDescent="0.25">
      <c r="A38" s="3" t="s">
        <v>939</v>
      </c>
      <c r="B38" s="117">
        <f>SUBTOTAL(9,B34:B37)</f>
        <v>30900518.621009603</v>
      </c>
      <c r="C38" s="117">
        <f t="shared" ref="C38:L38" si="7">SUBTOTAL(9,C34:C37)</f>
        <v>42269667.711587094</v>
      </c>
      <c r="D38" s="117">
        <f t="shared" si="7"/>
        <v>37256453.804959536</v>
      </c>
      <c r="E38" s="117">
        <f t="shared" si="7"/>
        <v>40111585.662443303</v>
      </c>
      <c r="F38" s="117">
        <f t="shared" si="7"/>
        <v>39185426.080104977</v>
      </c>
      <c r="G38" s="117">
        <f t="shared" si="7"/>
        <v>39480386.513132446</v>
      </c>
      <c r="H38" s="117">
        <f t="shared" si="7"/>
        <v>39581641.691141605</v>
      </c>
      <c r="I38" s="117">
        <f t="shared" si="7"/>
        <v>38784096.598996118</v>
      </c>
      <c r="J38" s="117">
        <f t="shared" si="7"/>
        <v>40458868.743406154</v>
      </c>
      <c r="K38" s="117">
        <f t="shared" si="7"/>
        <v>42069789.862787455</v>
      </c>
      <c r="L38" s="117">
        <f t="shared" si="7"/>
        <v>42443421.428027831</v>
      </c>
    </row>
    <row r="39" spans="1:12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25">
      <c r="A40" s="3" t="s">
        <v>940</v>
      </c>
      <c r="B40" s="118">
        <f>B32-B38</f>
        <v>2587293.6129457206</v>
      </c>
      <c r="C40" s="118">
        <f>C32-C38</f>
        <v>-5733326.0154357925</v>
      </c>
      <c r="D40" s="118">
        <f t="shared" ref="D40:L40" si="8">D32-D38</f>
        <v>-2256528.9355369806</v>
      </c>
      <c r="E40" s="118">
        <f t="shared" si="8"/>
        <v>-2778080.2017013207</v>
      </c>
      <c r="F40" s="118">
        <f t="shared" si="8"/>
        <v>-642251.1628921479</v>
      </c>
      <c r="G40" s="118">
        <f t="shared" si="8"/>
        <v>-420982.5644544661</v>
      </c>
      <c r="H40" s="118">
        <f t="shared" si="8"/>
        <v>260146.74956393987</v>
      </c>
      <c r="I40" s="118">
        <f t="shared" si="8"/>
        <v>1005478.493366316</v>
      </c>
      <c r="J40" s="118">
        <f t="shared" si="8"/>
        <v>794875.90080953389</v>
      </c>
      <c r="K40" s="118">
        <f t="shared" si="8"/>
        <v>-90752.435590624809</v>
      </c>
      <c r="L40" s="118">
        <f t="shared" si="8"/>
        <v>289875.49799373001</v>
      </c>
    </row>
    <row r="41" spans="1:12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ht="18" customHeight="1" x14ac:dyDescent="0.25">
      <c r="A42" s="113" t="s">
        <v>941</v>
      </c>
      <c r="B42" s="114">
        <f>B32-B38-B40</f>
        <v>0</v>
      </c>
      <c r="C42" s="114">
        <f t="shared" ref="C42:L42" si="9">C32-C38-C40</f>
        <v>0</v>
      </c>
      <c r="D42" s="114">
        <f t="shared" si="9"/>
        <v>0</v>
      </c>
      <c r="E42" s="114">
        <f t="shared" si="9"/>
        <v>0</v>
      </c>
      <c r="F42" s="114">
        <f t="shared" si="9"/>
        <v>0</v>
      </c>
      <c r="G42" s="114">
        <f t="shared" si="9"/>
        <v>0</v>
      </c>
      <c r="H42" s="114">
        <f t="shared" si="9"/>
        <v>0</v>
      </c>
      <c r="I42" s="114">
        <f t="shared" si="9"/>
        <v>0</v>
      </c>
      <c r="J42" s="114">
        <f t="shared" si="9"/>
        <v>0</v>
      </c>
      <c r="K42" s="114">
        <f t="shared" si="9"/>
        <v>0</v>
      </c>
      <c r="L42" s="114">
        <f t="shared" si="9"/>
        <v>0</v>
      </c>
    </row>
  </sheetData>
  <pageMargins left="0.7" right="0.7" top="0.75" bottom="0.75" header="0.3" footer="0.3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3"/>
  <sheetViews>
    <sheetView zoomScaleNormal="100" workbookViewId="0">
      <pane xSplit="1" ySplit="7" topLeftCell="B17" activePane="bottomRight" state="frozen"/>
      <selection activeCell="B23" sqref="B23"/>
      <selection pane="topRight" activeCell="B23" sqref="B23"/>
      <selection pane="bottomLeft" activeCell="B23" sqref="B23"/>
      <selection pane="bottomRight" activeCell="N34" sqref="N34"/>
    </sheetView>
  </sheetViews>
  <sheetFormatPr defaultColWidth="9.140625" defaultRowHeight="15" x14ac:dyDescent="0.25"/>
  <cols>
    <col min="1" max="1" width="51.7109375" style="44" customWidth="1"/>
    <col min="2" max="12" width="12.7109375" style="44" customWidth="1"/>
    <col min="13" max="16384" width="9.140625" style="44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1" customHeight="1" x14ac:dyDescent="0.25">
      <c r="A2" s="2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ht="18" customHeight="1" x14ac:dyDescent="0.25">
      <c r="A3" s="1" t="s">
        <v>942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2" x14ac:dyDescent="0.25">
      <c r="A5" s="6"/>
      <c r="B5" s="7" t="s">
        <v>7</v>
      </c>
      <c r="C5" s="89" t="s">
        <v>8</v>
      </c>
      <c r="D5" s="89" t="s">
        <v>9</v>
      </c>
      <c r="E5" s="89" t="s">
        <v>10</v>
      </c>
      <c r="F5" s="89" t="s">
        <v>11</v>
      </c>
      <c r="G5" s="89" t="s">
        <v>12</v>
      </c>
      <c r="H5" s="89" t="s">
        <v>13</v>
      </c>
      <c r="I5" s="89" t="s">
        <v>14</v>
      </c>
      <c r="J5" s="89" t="s">
        <v>15</v>
      </c>
      <c r="K5" s="89" t="s">
        <v>16</v>
      </c>
      <c r="L5" s="89" t="s">
        <v>17</v>
      </c>
    </row>
    <row r="6" spans="1:12" x14ac:dyDescent="0.25">
      <c r="A6" s="6"/>
      <c r="B6" s="7">
        <f>BASE_YR</f>
        <v>2018</v>
      </c>
      <c r="C6" s="89">
        <f>B6+1</f>
        <v>2019</v>
      </c>
      <c r="D6" s="89">
        <f t="shared" ref="D6:L6" si="0">C6+1</f>
        <v>2020</v>
      </c>
      <c r="E6" s="89">
        <f t="shared" si="0"/>
        <v>2021</v>
      </c>
      <c r="F6" s="89">
        <f t="shared" si="0"/>
        <v>2022</v>
      </c>
      <c r="G6" s="89">
        <f t="shared" si="0"/>
        <v>2023</v>
      </c>
      <c r="H6" s="89">
        <f t="shared" si="0"/>
        <v>2024</v>
      </c>
      <c r="I6" s="89">
        <f t="shared" si="0"/>
        <v>2025</v>
      </c>
      <c r="J6" s="89">
        <f t="shared" si="0"/>
        <v>2026</v>
      </c>
      <c r="K6" s="89">
        <f t="shared" si="0"/>
        <v>2027</v>
      </c>
      <c r="L6" s="89">
        <f t="shared" si="0"/>
        <v>2028</v>
      </c>
    </row>
    <row r="7" spans="1:12" x14ac:dyDescent="0.25">
      <c r="A7" s="6"/>
      <c r="B7" s="7" t="s">
        <v>864</v>
      </c>
      <c r="C7" s="89" t="s">
        <v>864</v>
      </c>
      <c r="D7" s="89" t="s">
        <v>864</v>
      </c>
      <c r="E7" s="89" t="s">
        <v>864</v>
      </c>
      <c r="F7" s="89" t="s">
        <v>864</v>
      </c>
      <c r="G7" s="89" t="s">
        <v>864</v>
      </c>
      <c r="H7" s="89" t="s">
        <v>864</v>
      </c>
      <c r="I7" s="89" t="s">
        <v>864</v>
      </c>
      <c r="J7" s="89" t="s">
        <v>864</v>
      </c>
      <c r="K7" s="89" t="s">
        <v>864</v>
      </c>
      <c r="L7" s="89" t="s">
        <v>864</v>
      </c>
    </row>
    <row r="8" spans="1:12" x14ac:dyDescent="0.25">
      <c r="A8" s="96" t="s">
        <v>943</v>
      </c>
    </row>
    <row r="9" spans="1:12" x14ac:dyDescent="0.25">
      <c r="A9" s="6" t="s">
        <v>667</v>
      </c>
      <c r="B9" s="108">
        <f>'Note 9'!C133+'Note 9'!C132</f>
        <v>10936495</v>
      </c>
      <c r="C9" s="108">
        <f>'Note 9'!D133+'Note 9'!D132</f>
        <v>11821649.731874458</v>
      </c>
      <c r="D9" s="108">
        <f>'Note 9'!E133+'Note 9'!E132</f>
        <v>12204996.011684159</v>
      </c>
      <c r="E9" s="108">
        <f>'Note 9'!F133+'Note 9'!F132</f>
        <v>10915288.858873375</v>
      </c>
      <c r="F9" s="108">
        <f>'Note 9'!G133+'Note 9'!G132</f>
        <v>11189078.941980386</v>
      </c>
      <c r="G9" s="108">
        <f>'Note 9'!H133+'Note 9'!H132</f>
        <v>11470668.548355876</v>
      </c>
      <c r="H9" s="108">
        <f>'Note 9'!I133+'Note 9'!I132</f>
        <v>11260276.431734044</v>
      </c>
      <c r="I9" s="108">
        <f>'Note 9'!J133+'Note 9'!J132</f>
        <v>11542833.850475131</v>
      </c>
      <c r="J9" s="108">
        <f>'Note 9'!K133+'Note 9'!K132</f>
        <v>11818135.577647176</v>
      </c>
      <c r="K9" s="108">
        <f>'Note 9'!L133+'Note 9'!L132</f>
        <v>12101233.04622798</v>
      </c>
      <c r="L9" s="108">
        <f>'Note 9'!M133+'Note 9'!M132</f>
        <v>12392343.882138237</v>
      </c>
    </row>
    <row r="10" spans="1:12" x14ac:dyDescent="0.25">
      <c r="A10" s="6" t="s">
        <v>671</v>
      </c>
      <c r="B10" s="108">
        <f>'Note 9'!C149+'Note 9'!C148</f>
        <v>3875000</v>
      </c>
      <c r="C10" s="108">
        <f>'Note 9'!D149+'Note 9'!D148</f>
        <v>4124441.5815589176</v>
      </c>
      <c r="D10" s="108">
        <f>'Note 9'!E149+'Note 9'!E148</f>
        <v>5245630.9278321862</v>
      </c>
      <c r="E10" s="108">
        <f>'Note 9'!F149+'Note 9'!F148</f>
        <v>3673933.224900824</v>
      </c>
      <c r="F10" s="108">
        <f>'Note 9'!G149+'Note 9'!G148</f>
        <v>3145394.2527538165</v>
      </c>
      <c r="G10" s="108">
        <f>'Note 9'!H149+'Note 9'!H148</f>
        <v>3218942.9127398422</v>
      </c>
      <c r="H10" s="108">
        <f>'Note 9'!I149+'Note 9'!I148</f>
        <v>3294638.890642182</v>
      </c>
      <c r="I10" s="108">
        <f>'Note 9'!J149+'Note 9'!J148</f>
        <v>3872543.5510814986</v>
      </c>
      <c r="J10" s="108">
        <f>'Note 9'!K149+'Note 9'!K148</f>
        <v>3252719.9841395225</v>
      </c>
      <c r="K10" s="108">
        <f>'Note 9'!L149+'Note 9'!L148</f>
        <v>3235233.0532643278</v>
      </c>
      <c r="L10" s="108">
        <f>'Note 9'!M149+'Note 9'!M148</f>
        <v>3820149.4444921324</v>
      </c>
    </row>
    <row r="11" spans="1:12" x14ac:dyDescent="0.25">
      <c r="A11" s="6" t="s">
        <v>673</v>
      </c>
      <c r="B11" s="108">
        <f>'Note 9'!C165+'Note 9'!C164</f>
        <v>2225000</v>
      </c>
      <c r="C11" s="108">
        <f>'Note 9'!D165+'Note 9'!D164</f>
        <v>2325671.607091242</v>
      </c>
      <c r="D11" s="108">
        <f>'Note 9'!E165+'Note 9'!E164</f>
        <v>2406468.2119825305</v>
      </c>
      <c r="E11" s="108">
        <f>'Note 9'!F165+'Note 9'!F164</f>
        <v>2692142.9839930767</v>
      </c>
      <c r="F11" s="108">
        <f>'Note 9'!G165+'Note 9'!G164</f>
        <v>2937925.4466542341</v>
      </c>
      <c r="G11" s="108">
        <f>'Note 9'!H165+'Note 9'!H164</f>
        <v>2885063.2453876161</v>
      </c>
      <c r="H11" s="108">
        <f>'Note 9'!I165+'Note 9'!I164</f>
        <v>2133595.5100809969</v>
      </c>
      <c r="I11" s="108">
        <f>'Note 9'!J165+'Note 9'!J164</f>
        <v>2483562.4795543053</v>
      </c>
      <c r="J11" s="108">
        <f>'Note 9'!K165+'Note 9'!K164</f>
        <v>2435005.5325398534</v>
      </c>
      <c r="K11" s="108">
        <f>'Note 9'!L165+'Note 9'!L164</f>
        <v>1887967.219518272</v>
      </c>
      <c r="L11" s="108">
        <f>'Note 9'!M165+'Note 9'!M164</f>
        <v>2642491.295433566</v>
      </c>
    </row>
    <row r="12" spans="1:12" hidden="1" x14ac:dyDescent="0.25">
      <c r="A12" s="6" t="s">
        <v>677</v>
      </c>
      <c r="B12" s="108">
        <f>'Note 9'!C181+'Note 9'!C180</f>
        <v>0</v>
      </c>
      <c r="C12" s="108">
        <f>'Note 9'!D181+'Note 9'!D180</f>
        <v>0</v>
      </c>
      <c r="D12" s="108">
        <f>'Note 9'!E181+'Note 9'!E180</f>
        <v>0</v>
      </c>
      <c r="E12" s="108">
        <f>'Note 9'!F181+'Note 9'!F180</f>
        <v>0</v>
      </c>
      <c r="F12" s="108">
        <f>'Note 9'!G181+'Note 9'!G180</f>
        <v>0</v>
      </c>
      <c r="G12" s="108">
        <f>'Note 9'!H181+'Note 9'!H180</f>
        <v>0</v>
      </c>
      <c r="H12" s="108">
        <f>'Note 9'!I181+'Note 9'!I180</f>
        <v>0</v>
      </c>
      <c r="I12" s="108">
        <f>'Note 9'!J181+'Note 9'!J180</f>
        <v>0</v>
      </c>
      <c r="J12" s="108">
        <f>'Note 9'!K181+'Note 9'!K180</f>
        <v>0</v>
      </c>
      <c r="K12" s="108">
        <f>'Note 9'!L181+'Note 9'!L180</f>
        <v>0</v>
      </c>
      <c r="L12" s="108">
        <f>'Note 9'!M181+'Note 9'!M180</f>
        <v>0</v>
      </c>
    </row>
    <row r="13" spans="1:12" x14ac:dyDescent="0.25">
      <c r="A13" s="6" t="s">
        <v>944</v>
      </c>
      <c r="B13" s="108">
        <f>'Note 9'!C197+'Note 9'!C196</f>
        <v>4902000</v>
      </c>
      <c r="C13" s="108">
        <f>'Note 9'!D197+'Note 9'!D196</f>
        <v>5622669.8864245117</v>
      </c>
      <c r="D13" s="108">
        <f>'Note 9'!E197+'Note 9'!E196</f>
        <v>5480031.8066578237</v>
      </c>
      <c r="E13" s="108">
        <f>'Note 9'!F197+'Note 9'!F196</f>
        <v>7052932.1824824372</v>
      </c>
      <c r="F13" s="108">
        <f>'Note 9'!G197+'Note 9'!G196</f>
        <v>7229445.6973815523</v>
      </c>
      <c r="G13" s="108">
        <f>'Note 9'!H197+'Note 9'!H196</f>
        <v>7411184.6877154121</v>
      </c>
      <c r="H13" s="108">
        <f>'Note 9'!I197+'Note 9'!I196</f>
        <v>6598300.0181083092</v>
      </c>
      <c r="I13" s="108">
        <f>'Note 9'!J197+'Note 9'!J196</f>
        <v>7290946.8286538105</v>
      </c>
      <c r="J13" s="108">
        <f>'Note 9'!K197+'Note 9'!K196</f>
        <v>7489284.654358509</v>
      </c>
      <c r="K13" s="108">
        <f>'Note 9'!L197+'Note 9'!L196</f>
        <v>7193477.5478849374</v>
      </c>
      <c r="L13" s="108">
        <f>'Note 9'!M197+'Note 9'!M196</f>
        <v>7903694.2056839112</v>
      </c>
    </row>
    <row r="14" spans="1:12" x14ac:dyDescent="0.25">
      <c r="A14" s="6" t="s">
        <v>661</v>
      </c>
      <c r="B14" s="108">
        <f>'Note 9'!C117+'Note 9'!C116</f>
        <v>7342891.9170124996</v>
      </c>
      <c r="C14" s="108">
        <f>'Note 9'!D117+'Note 9'!D116</f>
        <v>36717289.951903477</v>
      </c>
      <c r="D14" s="108">
        <f>'Note 9'!E117+'Note 9'!E116</f>
        <v>6598434.3169084182</v>
      </c>
      <c r="E14" s="108">
        <f>'Note 9'!F117+'Note 9'!F116</f>
        <v>7543135.9224952124</v>
      </c>
      <c r="F14" s="108">
        <f>'Note 9'!G117+'Note 9'!G116</f>
        <v>7529075.932672929</v>
      </c>
      <c r="G14" s="108">
        <f>'Note 9'!H117+'Note 9'!H116</f>
        <v>7720543.1077126749</v>
      </c>
      <c r="H14" s="108">
        <f>'Note 9'!I117+'Note 9'!I116</f>
        <v>8017697.9292516224</v>
      </c>
      <c r="I14" s="108">
        <f>'Note 9'!J117+'Note 9'!J116</f>
        <v>7918673.4619600363</v>
      </c>
      <c r="J14" s="108">
        <f>'Note 9'!K117+'Note 9'!K116</f>
        <v>7427630.5341016222</v>
      </c>
      <c r="K14" s="108">
        <f>'Note 9'!L117+'Note 9'!L116</f>
        <v>7642782.0980544463</v>
      </c>
      <c r="L14" s="108">
        <f>'Note 9'!M117+'Note 9'!M116</f>
        <v>7964307.6643239278</v>
      </c>
    </row>
    <row r="15" spans="1:12" x14ac:dyDescent="0.25">
      <c r="A15" s="107" t="s">
        <v>945</v>
      </c>
      <c r="B15" s="109">
        <f t="shared" ref="B15:L15" si="1">SUM(B9:B14)</f>
        <v>29281386.917012498</v>
      </c>
      <c r="C15" s="109">
        <f t="shared" si="1"/>
        <v>60611722.758852601</v>
      </c>
      <c r="D15" s="109">
        <f t="shared" si="1"/>
        <v>31935561.275065117</v>
      </c>
      <c r="E15" s="109">
        <f t="shared" si="1"/>
        <v>31877433.172744922</v>
      </c>
      <c r="F15" s="109">
        <f t="shared" si="1"/>
        <v>32030920.27144292</v>
      </c>
      <c r="G15" s="109">
        <f t="shared" si="1"/>
        <v>32706402.50191142</v>
      </c>
      <c r="H15" s="109">
        <f t="shared" si="1"/>
        <v>31304508.779817153</v>
      </c>
      <c r="I15" s="109">
        <f t="shared" si="1"/>
        <v>33108560.171724785</v>
      </c>
      <c r="J15" s="109">
        <f t="shared" si="1"/>
        <v>32422776.282786682</v>
      </c>
      <c r="K15" s="109">
        <f t="shared" si="1"/>
        <v>32060692.964949962</v>
      </c>
      <c r="L15" s="109">
        <f t="shared" si="1"/>
        <v>34722986.49207177</v>
      </c>
    </row>
    <row r="17" spans="1:12" x14ac:dyDescent="0.25">
      <c r="A17" s="96" t="s">
        <v>946</v>
      </c>
    </row>
    <row r="18" spans="1:12" x14ac:dyDescent="0.25">
      <c r="A18" s="6" t="s">
        <v>947</v>
      </c>
      <c r="B18" s="108">
        <f>'Note 9'!C27-'Note 4 to 5'!C98</f>
        <v>2081454.4881511142</v>
      </c>
      <c r="C18" s="108">
        <f>'Note 9'!D27-'Note 4 to 5'!D98</f>
        <v>5328986.2567963963</v>
      </c>
      <c r="D18" s="108">
        <f>'Note 9'!E27-'Note 4 to 5'!E98</f>
        <v>1975211.9056781516</v>
      </c>
      <c r="E18" s="108">
        <f>'Note 9'!F27-'Note 4 to 5'!F98</f>
        <v>4611618.9836411839</v>
      </c>
      <c r="F18" s="108">
        <f>'Note 9'!G27-'Note 4 to 5'!G98</f>
        <v>3509792.7172391312</v>
      </c>
      <c r="G18" s="108">
        <f>'Note 9'!H27-'Note 4 to 5'!H98</f>
        <v>2982551.2190835844</v>
      </c>
      <c r="H18" s="108">
        <f>'Note 9'!I27-'Note 4 to 5'!I98</f>
        <v>4629716.2846772345</v>
      </c>
      <c r="I18" s="108">
        <f>'Note 9'!J27-'Note 4 to 5'!J98</f>
        <v>2359822.6307519483</v>
      </c>
      <c r="J18" s="108">
        <f>'Note 9'!K27-'Note 4 to 5'!K98</f>
        <v>4203268.0959124947</v>
      </c>
      <c r="K18" s="108">
        <f>'Note 9'!L27-'Note 4 to 5'!L98</f>
        <v>5511141.5777881052</v>
      </c>
      <c r="L18" s="108">
        <f>'Note 9'!M27-'Note 4 to 5'!M98</f>
        <v>2703385.8339241757</v>
      </c>
    </row>
    <row r="19" spans="1:12" x14ac:dyDescent="0.25">
      <c r="A19" s="6" t="s">
        <v>601</v>
      </c>
      <c r="B19" s="108">
        <f>'Note 9'!C41</f>
        <v>370000</v>
      </c>
      <c r="C19" s="108">
        <f>'Note 9'!D41</f>
        <v>1200000</v>
      </c>
      <c r="D19" s="108">
        <f>'Note 9'!E41</f>
        <v>1200000</v>
      </c>
      <c r="E19" s="108">
        <f>'Note 9'!F41</f>
        <v>1200000</v>
      </c>
      <c r="F19" s="108">
        <f>'Note 9'!G41</f>
        <v>1200000</v>
      </c>
      <c r="G19" s="108">
        <f>'Note 9'!H41</f>
        <v>1200000</v>
      </c>
      <c r="H19" s="108">
        <f>'Note 9'!I41</f>
        <v>1000000</v>
      </c>
      <c r="I19" s="108">
        <f>'Note 9'!J41</f>
        <v>500000</v>
      </c>
      <c r="J19" s="108">
        <f>'Note 9'!K41</f>
        <v>1000000</v>
      </c>
      <c r="K19" s="108">
        <f>'Note 9'!L41</f>
        <v>1500000</v>
      </c>
      <c r="L19" s="108">
        <f>'Note 9'!M41</f>
        <v>2000000</v>
      </c>
    </row>
    <row r="20" spans="1:12" x14ac:dyDescent="0.25">
      <c r="A20" s="6" t="s">
        <v>948</v>
      </c>
      <c r="B20" s="108">
        <f>'Note 9'!C55</f>
        <v>300000</v>
      </c>
      <c r="C20" s="108">
        <f>'Note 9'!D55</f>
        <v>300000</v>
      </c>
      <c r="D20" s="108">
        <f>'Note 9'!E55</f>
        <v>300000</v>
      </c>
      <c r="E20" s="108">
        <f>'Note 9'!F55</f>
        <v>300000</v>
      </c>
      <c r="F20" s="108">
        <f>'Note 9'!G55</f>
        <v>300000</v>
      </c>
      <c r="G20" s="108">
        <f>'Note 9'!H55</f>
        <v>300000</v>
      </c>
      <c r="H20" s="108">
        <f>'Note 9'!I55</f>
        <v>300000</v>
      </c>
      <c r="I20" s="108">
        <f>'Note 9'!J55</f>
        <v>300000</v>
      </c>
      <c r="J20" s="108">
        <f>'Note 9'!K55</f>
        <v>300000</v>
      </c>
      <c r="K20" s="108">
        <f>'Note 9'!L55</f>
        <v>300000</v>
      </c>
      <c r="L20" s="108">
        <f>'Note 9'!M55</f>
        <v>300000</v>
      </c>
    </row>
    <row r="21" spans="1:12" x14ac:dyDescent="0.25">
      <c r="A21" s="6" t="s">
        <v>643</v>
      </c>
      <c r="B21" s="108">
        <f>'Note 9'!C103+'Note 9'!C102</f>
        <v>100000</v>
      </c>
      <c r="C21" s="108">
        <f>'Note 9'!D103+'Note 9'!D102</f>
        <v>108218.09037479527</v>
      </c>
      <c r="D21" s="108">
        <f>'Note 9'!E103+'Note 9'!E102</f>
        <v>164813.73159041067</v>
      </c>
      <c r="E21" s="108">
        <f>'Note 9'!F103+'Note 9'!F102</f>
        <v>271807.59053004708</v>
      </c>
      <c r="F21" s="108">
        <f>'Note 9'!G103+'Note 9'!G102</f>
        <v>300544.93442075379</v>
      </c>
      <c r="G21" s="108">
        <f>'Note 9'!H103+'Note 9'!H102</f>
        <v>254392.91799082584</v>
      </c>
      <c r="H21" s="108">
        <f>'Note 9'!I103+'Note 9'!I102</f>
        <v>308354.73551681614</v>
      </c>
      <c r="I21" s="108">
        <f>'Note 9'!J103+'Note 9'!J102</f>
        <v>362433.67180035147</v>
      </c>
      <c r="J21" s="108">
        <f>'Note 9'!K103+'Note 9'!K102</f>
        <v>316633.10469713091</v>
      </c>
      <c r="K21" s="108">
        <f>'Note 9'!L103+'Note 9'!L102</f>
        <v>270956.50771577732</v>
      </c>
      <c r="L21" s="108">
        <f>'Note 9'!M103+'Note 9'!M102</f>
        <v>325407.45268845442</v>
      </c>
    </row>
    <row r="22" spans="1:12" x14ac:dyDescent="0.25">
      <c r="A22" s="6" t="s">
        <v>682</v>
      </c>
      <c r="B22" s="108">
        <f>'Note 9'!C212</f>
        <v>0</v>
      </c>
      <c r="C22" s="108">
        <f>'Note 9'!D212</f>
        <v>50000</v>
      </c>
      <c r="D22" s="108">
        <f>'Note 9'!E212</f>
        <v>0</v>
      </c>
      <c r="E22" s="108">
        <f>'Note 9'!F212</f>
        <v>50000</v>
      </c>
      <c r="F22" s="108">
        <f>'Note 9'!G212</f>
        <v>0</v>
      </c>
      <c r="G22" s="108">
        <f>'Note 9'!H212</f>
        <v>100000</v>
      </c>
      <c r="H22" s="108">
        <f>'Note 9'!I212</f>
        <v>0</v>
      </c>
      <c r="I22" s="108">
        <f>'Note 9'!J212</f>
        <v>50000</v>
      </c>
      <c r="J22" s="108">
        <f>'Note 9'!K212</f>
        <v>0</v>
      </c>
      <c r="K22" s="108">
        <f>'Note 9'!L212</f>
        <v>100000</v>
      </c>
      <c r="L22" s="108">
        <f>'Note 9'!M212</f>
        <v>0</v>
      </c>
    </row>
    <row r="23" spans="1:12" x14ac:dyDescent="0.25">
      <c r="A23" s="6" t="s">
        <v>684</v>
      </c>
      <c r="B23" s="108">
        <f>'Note 9'!C225</f>
        <v>421281</v>
      </c>
      <c r="C23" s="108">
        <f>'Note 9'!D225</f>
        <v>431813.02499999997</v>
      </c>
      <c r="D23" s="108">
        <f>'Note 9'!E225</f>
        <v>442608.3506249999</v>
      </c>
      <c r="E23" s="108">
        <f>'Note 9'!F225</f>
        <v>453673.55939062487</v>
      </c>
      <c r="F23" s="108">
        <f>'Note 9'!G225</f>
        <v>465015.39837539045</v>
      </c>
      <c r="G23" s="108">
        <f>'Note 9'!H225</f>
        <v>476640.78333477519</v>
      </c>
      <c r="H23" s="108">
        <f>'Note 9'!I225</f>
        <v>488556.8029181445</v>
      </c>
      <c r="I23" s="108">
        <f>'Note 9'!J225</f>
        <v>500770.72299109807</v>
      </c>
      <c r="J23" s="108">
        <f>'Note 9'!K225</f>
        <v>513289.99106587545</v>
      </c>
      <c r="K23" s="108">
        <f>'Note 9'!L225</f>
        <v>526122.24084252224</v>
      </c>
      <c r="L23" s="108">
        <f>'Note 9'!M225</f>
        <v>539275.29686358524</v>
      </c>
    </row>
    <row r="24" spans="1:12" x14ac:dyDescent="0.25">
      <c r="A24" s="107" t="s">
        <v>949</v>
      </c>
      <c r="B24" s="109">
        <f>SUM(B18:B23)</f>
        <v>3272735.4881511144</v>
      </c>
      <c r="C24" s="109">
        <f t="shared" ref="C24:L24" si="2">SUM(C18:C23)</f>
        <v>7419017.3721711924</v>
      </c>
      <c r="D24" s="109">
        <f t="shared" si="2"/>
        <v>4082633.9878935623</v>
      </c>
      <c r="E24" s="109">
        <f t="shared" si="2"/>
        <v>6887100.1335618561</v>
      </c>
      <c r="F24" s="109">
        <f t="shared" si="2"/>
        <v>5775353.0500352755</v>
      </c>
      <c r="G24" s="109">
        <f t="shared" si="2"/>
        <v>5313584.9204091858</v>
      </c>
      <c r="H24" s="109">
        <f t="shared" si="2"/>
        <v>6726627.8231121954</v>
      </c>
      <c r="I24" s="109">
        <f t="shared" si="2"/>
        <v>4073027.0255433978</v>
      </c>
      <c r="J24" s="109">
        <f t="shared" si="2"/>
        <v>6333191.1916755009</v>
      </c>
      <c r="K24" s="109">
        <f t="shared" si="2"/>
        <v>8208220.3263464049</v>
      </c>
      <c r="L24" s="109">
        <f t="shared" si="2"/>
        <v>5868068.5834762156</v>
      </c>
    </row>
    <row r="26" spans="1:12" ht="18" customHeight="1" thickBot="1" x14ac:dyDescent="0.3">
      <c r="A26" s="96" t="s">
        <v>950</v>
      </c>
      <c r="B26" s="110">
        <f>B15+B24</f>
        <v>32554122.405163612</v>
      </c>
      <c r="C26" s="110">
        <f t="shared" ref="C26:L26" si="3">C15+C24</f>
        <v>68030740.131023794</v>
      </c>
      <c r="D26" s="110">
        <f t="shared" si="3"/>
        <v>36018195.262958676</v>
      </c>
      <c r="E26" s="110">
        <f t="shared" si="3"/>
        <v>38764533.306306779</v>
      </c>
      <c r="F26" s="110">
        <f t="shared" si="3"/>
        <v>37806273.321478195</v>
      </c>
      <c r="G26" s="110">
        <f t="shared" si="3"/>
        <v>38019987.422320604</v>
      </c>
      <c r="H26" s="110">
        <f t="shared" si="3"/>
        <v>38031136.602929346</v>
      </c>
      <c r="I26" s="110">
        <f t="shared" si="3"/>
        <v>37181587.197268181</v>
      </c>
      <c r="J26" s="110">
        <f t="shared" si="3"/>
        <v>38755967.474462181</v>
      </c>
      <c r="K26" s="110">
        <f t="shared" si="3"/>
        <v>40268913.291296363</v>
      </c>
      <c r="L26" s="110">
        <f t="shared" si="3"/>
        <v>40591055.075547986</v>
      </c>
    </row>
    <row r="28" spans="1:12" x14ac:dyDescent="0.25">
      <c r="A28" s="96" t="s">
        <v>951</v>
      </c>
    </row>
    <row r="29" spans="1:12" x14ac:dyDescent="0.25">
      <c r="A29" s="6" t="s">
        <v>651</v>
      </c>
      <c r="B29" s="108">
        <f>SUMIF('Capital Works'!$A$7:$A$114,$A29,'Capital Works'!D$7:D$114)</f>
        <v>22405281</v>
      </c>
      <c r="C29" s="108">
        <f>SUMIF('Capital Works'!$A$7:$A$114,$A29,'Capital Works'!E$7:E$114)</f>
        <v>24728009.675004818</v>
      </c>
      <c r="D29" s="108">
        <f>SUMIF('Capital Works'!$A$7:$A$114,$A29,'Capital Works'!F$7:F$114)</f>
        <v>27372199.987121169</v>
      </c>
      <c r="E29" s="108">
        <f>SUMIF('Capital Works'!$A$7:$A$114,$A29,'Capital Works'!G$7:G$114)</f>
        <v>25924175.086090107</v>
      </c>
      <c r="F29" s="108">
        <f>SUMIF('Capital Works'!$A$7:$A$114,$A29,'Capital Works'!H$7:H$114)</f>
        <v>26045190.732453644</v>
      </c>
      <c r="G29" s="108">
        <f>SUMIF('Capital Works'!$A$7:$A$114,$A29,'Capital Works'!I$7:I$114)</f>
        <v>26684538.602285348</v>
      </c>
      <c r="H29" s="108">
        <f>SUMIF('Capital Works'!$A$7:$A$114,$A29,'Capital Works'!J$7:J$114)</f>
        <v>24642746.86733659</v>
      </c>
      <c r="I29" s="108">
        <f>SUMIF('Capital Works'!$A$7:$A$114,$A29,'Capital Works'!K$7:K$114)</f>
        <v>23505065.087754998</v>
      </c>
      <c r="J29" s="108">
        <f>SUMIF('Capital Works'!$A$7:$A$114,$A29,'Capital Works'!L$7:L$114)</f>
        <v>24171615.472878855</v>
      </c>
      <c r="K29" s="108">
        <f>SUMIF('Capital Works'!$A$7:$A$114,$A29,'Capital Works'!M$7:M$114)</f>
        <v>25257786.28413298</v>
      </c>
      <c r="L29" s="108">
        <f>SUMIF('Capital Works'!$A$7:$A$114,$A29,'Capital Works'!N$7:N$114)</f>
        <v>26464141.632929455</v>
      </c>
    </row>
    <row r="30" spans="1:12" x14ac:dyDescent="0.25">
      <c r="A30" s="6" t="s">
        <v>649</v>
      </c>
      <c r="B30" s="108">
        <f>SUMIF('Capital Works'!$A$7:$A$114,$A30,'Capital Works'!D$7:D$114)</f>
        <v>1592891.9170125001</v>
      </c>
      <c r="C30" s="108">
        <f>SUMIF('Capital Works'!$A$7:$A$114,$A30,'Capital Works'!E$7:E$114)</f>
        <v>2044749.75535275</v>
      </c>
      <c r="D30" s="108">
        <f>SUMIF('Capital Works'!$A$7:$A$114,$A30,'Capital Works'!F$7:F$114)</f>
        <v>1646644.7504598051</v>
      </c>
      <c r="E30" s="108">
        <f>SUMIF('Capital Works'!$A$7:$A$114,$A30,'Capital Works'!G$7:G$114)</f>
        <v>3000114.297001312</v>
      </c>
      <c r="F30" s="108">
        <f>SUMIF('Capital Works'!$A$7:$A$114,$A30,'Capital Works'!H$7:H$114)</f>
        <v>2878708.4002636592</v>
      </c>
      <c r="G30" s="108">
        <f>SUMIF('Capital Works'!$A$7:$A$114,$A30,'Capital Works'!I$7:I$114)</f>
        <v>2832431.5318331243</v>
      </c>
      <c r="H30" s="108">
        <f>SUMIF('Capital Works'!$A$7:$A$114,$A30,'Capital Works'!J$7:J$114)</f>
        <v>3086288.3238259335</v>
      </c>
      <c r="I30" s="108">
        <f>SUMIF('Capital Works'!$A$7:$A$114,$A30,'Capital Works'!K$7:K$114)</f>
        <v>5488251.5746512841</v>
      </c>
      <c r="J30" s="108">
        <f>SUMIF('Capital Works'!$A$7:$A$114,$A30,'Capital Works'!L$7:L$114)</f>
        <v>4392317.306181266</v>
      </c>
      <c r="K30" s="108">
        <f>SUMIF('Capital Works'!$A$7:$A$114,$A30,'Capital Works'!M$7:M$114)</f>
        <v>3346528.9974731733</v>
      </c>
      <c r="L30" s="108">
        <f>SUMIF('Capital Works'!$A$7:$A$114,$A30,'Capital Works'!N$7:N$114)</f>
        <v>5100891.8884824608</v>
      </c>
    </row>
    <row r="31" spans="1:12" x14ac:dyDescent="0.25">
      <c r="A31" s="6" t="s">
        <v>675</v>
      </c>
      <c r="B31" s="108">
        <f>SUMIF('Capital Works'!$A$7:$A$114,$A31,'Capital Works'!D$7:D$114)</f>
        <v>913000</v>
      </c>
      <c r="C31" s="108">
        <f>SUMIF('Capital Works'!$A$7:$A$114,$A31,'Capital Works'!E$7:E$114)</f>
        <v>988031.16512188071</v>
      </c>
      <c r="D31" s="108">
        <f>SUMIF('Capital Works'!$A$7:$A$114,$A31,'Capital Works'!F$7:F$114)</f>
        <v>1048249.3694204492</v>
      </c>
      <c r="E31" s="108">
        <f>SUMIF('Capital Works'!$A$7:$A$114,$A31,'Capital Works'!G$7:G$114)</f>
        <v>1112103.3015393298</v>
      </c>
      <c r="F31" s="108">
        <f>SUMIF('Capital Works'!$A$7:$A$114,$A31,'Capital Works'!H$7:H$114)</f>
        <v>1146225.251261482</v>
      </c>
      <c r="G31" s="108">
        <f>SUMIF('Capital Works'!$A$7:$A$114,$A31,'Capital Works'!I$7:I$114)</f>
        <v>1181357.3412562397</v>
      </c>
      <c r="H31" s="108">
        <f>SUMIF('Capital Works'!$A$7:$A$114,$A31,'Capital Works'!J$7:J$114)</f>
        <v>1217528.7352685309</v>
      </c>
      <c r="I31" s="108">
        <f>SUMIF('Capital Works'!$A$7:$A$114,$A31,'Capital Works'!K$7:K$114)</f>
        <v>1254769.4235372087</v>
      </c>
      <c r="J31" s="108">
        <f>SUMIF('Capital Works'!$A$7:$A$114,$A31,'Capital Works'!L$7:L$114)</f>
        <v>1293110.245884805</v>
      </c>
      <c r="K31" s="108">
        <f>SUMIF('Capital Works'!$A$7:$A$114,$A31,'Capital Works'!M$7:M$114)</f>
        <v>1332582.9154450467</v>
      </c>
      <c r="L31" s="108">
        <f>SUMIF('Capital Works'!$A$7:$A$114,$A31,'Capital Works'!N$7:N$114)</f>
        <v>1373220.0430455885</v>
      </c>
    </row>
    <row r="32" spans="1:12" x14ac:dyDescent="0.25">
      <c r="A32" s="6" t="s">
        <v>636</v>
      </c>
      <c r="B32" s="108">
        <f>SUMIF('Capital Works'!$A$7:$A$114,$A32,'Capital Works'!D$7:D$114)</f>
        <v>1405000</v>
      </c>
      <c r="C32" s="108">
        <f>SUMIF('Capital Works'!$A$7:$A$114,$A32,'Capital Works'!E$7:E$114)</f>
        <v>3726987.9037479525</v>
      </c>
      <c r="D32" s="108">
        <f>SUMIF('Capital Works'!$A$7:$A$114,$A32,'Capital Works'!F$7:F$114)</f>
        <v>1361552.3159041065</v>
      </c>
      <c r="E32" s="108">
        <f>SUMIF('Capital Works'!$A$7:$A$114,$A32,'Capital Works'!G$7:G$114)</f>
        <v>2260281.905300471</v>
      </c>
      <c r="F32" s="108">
        <f>SUMIF('Capital Works'!$A$7:$A$114,$A32,'Capital Works'!H$7:H$114)</f>
        <v>1682858.3442075378</v>
      </c>
      <c r="G32" s="108">
        <f>SUMIF('Capital Works'!$A$7:$A$114,$A32,'Capital Works'!I$7:I$114)</f>
        <v>1448669.1799082581</v>
      </c>
      <c r="H32" s="108">
        <f>SUMIF('Capital Works'!$A$7:$A$114,$A32,'Capital Works'!J$7:J$114)</f>
        <v>4124566.355168161</v>
      </c>
      <c r="I32" s="108">
        <f>SUMIF('Capital Works'!$A$7:$A$114,$A32,'Capital Works'!K$7:K$114)</f>
        <v>1773929.7180035147</v>
      </c>
      <c r="J32" s="108">
        <f>SUMIF('Capital Works'!$A$7:$A$114,$A32,'Capital Works'!L$7:L$114)</f>
        <v>2413216.046971309</v>
      </c>
      <c r="K32" s="108">
        <f>SUMIF('Capital Works'!$A$7:$A$114,$A32,'Capital Works'!M$7:M$114)</f>
        <v>2104955.0771577731</v>
      </c>
      <c r="L32" s="108">
        <f>SUMIF('Capital Works'!$A$7:$A$114,$A32,'Capital Works'!N$7:N$114)</f>
        <v>1504074.5268845439</v>
      </c>
    </row>
    <row r="33" spans="1:12" x14ac:dyDescent="0.25">
      <c r="A33" s="6" t="s">
        <v>26</v>
      </c>
      <c r="B33" s="108">
        <f>SUMIF('Capital Works'!$A$7:$A$114,$A33,'Capital Works'!D$7:D$114)</f>
        <v>1500000</v>
      </c>
      <c r="C33" s="108">
        <f>SUMIF('Capital Works'!$A$7:$A$114,$A33,'Capital Works'!E$7:E$114)</f>
        <v>1100000</v>
      </c>
      <c r="D33" s="108">
        <f>SUMIF('Capital Works'!$A$7:$A$114,$A33,'Capital Works'!F$7:F$114)</f>
        <v>0</v>
      </c>
      <c r="E33" s="108">
        <f>SUMIF('Capital Works'!$A$7:$A$114,$A33,'Capital Works'!G$7:G$114)</f>
        <v>0</v>
      </c>
      <c r="F33" s="108">
        <f>SUMIF('Capital Works'!$A$7:$A$114,$A33,'Capital Works'!H$7:H$114)</f>
        <v>0</v>
      </c>
      <c r="G33" s="108">
        <f>SUMIF('Capital Works'!$A$7:$A$114,$A33,'Capital Works'!I$7:I$114)</f>
        <v>0</v>
      </c>
      <c r="H33" s="108">
        <f>SUMIF('Capital Works'!$A$7:$A$114,$A33,'Capital Works'!J$7:J$114)</f>
        <v>0</v>
      </c>
      <c r="I33" s="108">
        <f>SUMIF('Capital Works'!$A$7:$A$114,$A33,'Capital Works'!K$7:K$114)</f>
        <v>0</v>
      </c>
      <c r="J33" s="108">
        <f>SUMIF('Capital Works'!$A$7:$A$114,$A33,'Capital Works'!L$7:L$114)</f>
        <v>0</v>
      </c>
      <c r="K33" s="108">
        <f>SUMIF('Capital Works'!$A$7:$A$114,$A33,'Capital Works'!M$7:M$114)</f>
        <v>0</v>
      </c>
      <c r="L33" s="108">
        <f>SUMIF('Capital Works'!$A$7:$A$114,$A33,'Capital Works'!N$7:N$114)</f>
        <v>0</v>
      </c>
    </row>
    <row r="34" spans="1:12" x14ac:dyDescent="0.25">
      <c r="A34" s="6" t="s">
        <v>663</v>
      </c>
      <c r="B34" s="108">
        <f>SUMIF('Capital Works'!$A$7:$A$114,$A34,'Capital Works'!D$7:D$114)</f>
        <v>0</v>
      </c>
      <c r="C34" s="108">
        <f>SUMIF('Capital Works'!$A$7:$A$114,$A34,'Capital Works'!E$7:E$114)</f>
        <v>3000000</v>
      </c>
      <c r="D34" s="108">
        <f>SUMIF('Capital Works'!$A$7:$A$114,$A34,'Capital Works'!F$7:F$114)</f>
        <v>0</v>
      </c>
      <c r="E34" s="108">
        <f>SUMIF('Capital Works'!$A$7:$A$114,$A34,'Capital Works'!G$7:G$114)</f>
        <v>0</v>
      </c>
      <c r="F34" s="108">
        <f>SUMIF('Capital Works'!$A$7:$A$114,$A34,'Capital Works'!H$7:H$114)</f>
        <v>0</v>
      </c>
      <c r="G34" s="108">
        <f>SUMIF('Capital Works'!$A$7:$A$114,$A34,'Capital Works'!I$7:I$114)</f>
        <v>0</v>
      </c>
      <c r="H34" s="108">
        <f>SUMIF('Capital Works'!$A$7:$A$114,$A34,'Capital Works'!J$7:J$114)</f>
        <v>0</v>
      </c>
      <c r="I34" s="108">
        <f>SUMIF('Capital Works'!$A$7:$A$114,$A34,'Capital Works'!K$7:K$114)</f>
        <v>0</v>
      </c>
      <c r="J34" s="108">
        <f>SUMIF('Capital Works'!$A$7:$A$114,$A34,'Capital Works'!L$7:L$114)</f>
        <v>0</v>
      </c>
      <c r="K34" s="108">
        <f>SUMIF('Capital Works'!$A$7:$A$114,$A34,'Capital Works'!M$7:M$114)</f>
        <v>0</v>
      </c>
      <c r="L34" s="108">
        <f>SUMIF('Capital Works'!$A$7:$A$114,$A34,'Capital Works'!N$7:N$114)</f>
        <v>0</v>
      </c>
    </row>
    <row r="35" spans="1:12" x14ac:dyDescent="0.25">
      <c r="A35" s="6" t="s">
        <v>669</v>
      </c>
      <c r="B35" s="108">
        <f>SUMIF('Capital Works'!$A$7:$A$114,$A35,'Capital Works'!D$7:D$114)</f>
        <v>2691495</v>
      </c>
      <c r="C35" s="108">
        <f>SUMIF('Capital Works'!$A$7:$A$114,$A35,'Capital Works'!E$7:E$114)</f>
        <v>2758782.375</v>
      </c>
      <c r="D35" s="108">
        <f>SUMIF('Capital Works'!$A$7:$A$114,$A35,'Capital Works'!F$7:F$114)</f>
        <v>2827751.9343749997</v>
      </c>
      <c r="E35" s="108">
        <f>SUMIF('Capital Works'!$A$7:$A$114,$A35,'Capital Works'!G$7:G$114)</f>
        <v>2898445.7327343747</v>
      </c>
      <c r="F35" s="108">
        <f>SUMIF('Capital Works'!$A$7:$A$114,$A35,'Capital Works'!H$7:H$114)</f>
        <v>2970906.876052734</v>
      </c>
      <c r="G35" s="108">
        <f>SUMIF('Capital Works'!$A$7:$A$114,$A35,'Capital Works'!I$7:I$114)</f>
        <v>3045179.5479540522</v>
      </c>
      <c r="H35" s="108">
        <f>SUMIF('Capital Works'!$A$7:$A$114,$A35,'Capital Works'!J$7:J$114)</f>
        <v>3121309.0366529026</v>
      </c>
      <c r="I35" s="108">
        <f>SUMIF('Capital Works'!$A$7:$A$114,$A35,'Capital Works'!K$7:K$114)</f>
        <v>3199341.7625692254</v>
      </c>
      <c r="J35" s="108">
        <f>SUMIF('Capital Works'!$A$7:$A$114,$A35,'Capital Works'!L$7:L$114)</f>
        <v>3279325.3066334557</v>
      </c>
      <c r="K35" s="108">
        <f>SUMIF('Capital Works'!$A$7:$A$114,$A35,'Capital Works'!M$7:M$114)</f>
        <v>3361308.4392992919</v>
      </c>
      <c r="L35" s="108">
        <f>SUMIF('Capital Works'!$A$7:$A$114,$A35,'Capital Works'!N$7:N$114)</f>
        <v>3445341.1502817739</v>
      </c>
    </row>
    <row r="36" spans="1:12" x14ac:dyDescent="0.25">
      <c r="A36" s="6" t="s">
        <v>646</v>
      </c>
      <c r="B36" s="108">
        <f>SUMIF('Capital Works'!$A$7:$A$114,$A36,'Capital Works'!D$7:D$114)</f>
        <v>370000</v>
      </c>
      <c r="C36" s="108">
        <f>SUMIF('Capital Works'!$A$7:$A$114,$A36,'Capital Works'!E$7:E$114)</f>
        <v>0</v>
      </c>
      <c r="D36" s="108">
        <f>SUMIF('Capital Works'!$A$7:$A$114,$A36,'Capital Works'!F$7:F$114)</f>
        <v>0</v>
      </c>
      <c r="E36" s="108">
        <f>SUMIF('Capital Works'!$A$7:$A$114,$A36,'Capital Works'!G$7:G$114)</f>
        <v>0</v>
      </c>
      <c r="F36" s="108">
        <f>SUMIF('Capital Works'!$A$7:$A$114,$A36,'Capital Works'!H$7:H$114)</f>
        <v>0</v>
      </c>
      <c r="G36" s="108">
        <f>SUMIF('Capital Works'!$A$7:$A$114,$A36,'Capital Works'!I$7:I$114)</f>
        <v>0</v>
      </c>
      <c r="H36" s="108">
        <f>SUMIF('Capital Works'!$A$7:$A$114,$A36,'Capital Works'!J$7:J$114)</f>
        <v>0</v>
      </c>
      <c r="I36" s="108">
        <f>SUMIF('Capital Works'!$A$7:$A$114,$A36,'Capital Works'!K$7:K$114)</f>
        <v>0</v>
      </c>
      <c r="J36" s="108">
        <f>SUMIF('Capital Works'!$A$7:$A$114,$A36,'Capital Works'!L$7:L$114)</f>
        <v>0</v>
      </c>
      <c r="K36" s="108">
        <f>SUMIF('Capital Works'!$A$7:$A$114,$A36,'Capital Works'!M$7:M$114)</f>
        <v>0</v>
      </c>
      <c r="L36" s="108">
        <f>SUMIF('Capital Works'!$A$7:$A$114,$A36,'Capital Works'!N$7:N$114)</f>
        <v>0</v>
      </c>
    </row>
    <row r="37" spans="1:12" x14ac:dyDescent="0.25">
      <c r="A37" s="6" t="s">
        <v>1199</v>
      </c>
      <c r="B37" s="108">
        <f>SUMIF('Capital Works'!$A$7:$A$114,$A37,'Capital Works'!D$7:D$114)</f>
        <v>0</v>
      </c>
      <c r="C37" s="108">
        <f>SUMIF('Capital Works'!$A$7:$A$114,$A37,'Capital Works'!E$7:E$114)</f>
        <v>27000000</v>
      </c>
      <c r="D37" s="108">
        <f>SUMIF('Capital Works'!$A$7:$A$114,$A37,'Capital Works'!F$7:F$114)</f>
        <v>0</v>
      </c>
      <c r="E37" s="108">
        <f>SUMIF('Capital Works'!$A$7:$A$114,$A37,'Capital Works'!G$7:G$114)</f>
        <v>0</v>
      </c>
      <c r="F37" s="108">
        <f>SUMIF('Capital Works'!$A$7:$A$114,$A37,'Capital Works'!H$7:H$114)</f>
        <v>0</v>
      </c>
      <c r="G37" s="108">
        <f>SUMIF('Capital Works'!$A$7:$A$114,$A37,'Capital Works'!I$7:I$114)</f>
        <v>0</v>
      </c>
      <c r="H37" s="108">
        <f>SUMIF('Capital Works'!$A$7:$A$114,$A37,'Capital Works'!J$7:J$114)</f>
        <v>0</v>
      </c>
      <c r="I37" s="108">
        <f>SUMIF('Capital Works'!$A$7:$A$114,$A37,'Capital Works'!K$7:K$114)</f>
        <v>0</v>
      </c>
      <c r="J37" s="108">
        <f>SUMIF('Capital Works'!$A$7:$A$114,$A37,'Capital Works'!L$7:L$114)</f>
        <v>0</v>
      </c>
      <c r="K37" s="108">
        <f>SUMIF('Capital Works'!$A$7:$A$114,$A37,'Capital Works'!M$7:M$114)</f>
        <v>0</v>
      </c>
      <c r="L37" s="108">
        <f>SUMIF('Capital Works'!$A$7:$A$114,$A37,'Capital Works'!N$7:N$114)</f>
        <v>0</v>
      </c>
    </row>
    <row r="38" spans="1:12" x14ac:dyDescent="0.25">
      <c r="A38" s="6" t="s">
        <v>634</v>
      </c>
      <c r="B38" s="108">
        <f>SUMIF('Capital Works'!$A$7:$A$114,$A38,'Capital Works'!D$7:D$114)-'Note 4 to 5'!C98</f>
        <v>1676454.4881511142</v>
      </c>
      <c r="C38" s="108">
        <f>SUMIF('Capital Works'!$A$7:$A$114,$A38,'Capital Works'!E$7:E$114)-'Note 4 to 5'!D98</f>
        <v>2684179.2567963963</v>
      </c>
      <c r="D38" s="108">
        <f>SUMIF('Capital Works'!$A$7:$A$114,$A38,'Capital Works'!F$7:F$114)-'Note 4 to 5'!E98</f>
        <v>1761796.9056781516</v>
      </c>
      <c r="E38" s="108">
        <f>SUMIF('Capital Works'!$A$7:$A$114,$A38,'Capital Works'!G$7:G$114)-'Note 4 to 5'!F98</f>
        <v>3569412.9836411839</v>
      </c>
      <c r="F38" s="108">
        <f>SUMIF('Capital Works'!$A$7:$A$114,$A38,'Capital Works'!H$7:H$114)-'Note 4 to 5'!G98</f>
        <v>3082383.7172391312</v>
      </c>
      <c r="G38" s="108">
        <f>SUMIF('Capital Works'!$A$7:$A$114,$A38,'Capital Works'!I$7:I$114)-'Note 4 to 5'!H98</f>
        <v>2827811.2190835844</v>
      </c>
      <c r="H38" s="108">
        <f>SUMIF('Capital Works'!$A$7:$A$114,$A38,'Capital Works'!J$7:J$114)-'Note 4 to 5'!I98</f>
        <v>1838697.2846772347</v>
      </c>
      <c r="I38" s="108">
        <f>SUMIF('Capital Works'!$A$7:$A$114,$A38,'Capital Works'!K$7:K$114)-'Note 4 to 5'!J98</f>
        <v>1960229.6307519483</v>
      </c>
      <c r="J38" s="108">
        <f>SUMIF('Capital Works'!$A$7:$A$114,$A38,'Capital Works'!L$7:L$114)-'Note 4 to 5'!K98</f>
        <v>3206383.0959124947</v>
      </c>
      <c r="K38" s="108">
        <f>SUMIF('Capital Works'!$A$7:$A$114,$A38,'Capital Works'!M$7:M$114)-'Note 4 to 5'!L98</f>
        <v>4865751.5777881052</v>
      </c>
      <c r="L38" s="108">
        <f>SUMIF('Capital Works'!$A$7:$A$114,$A38,'Capital Works'!N$7:N$114)-'Note 4 to 5'!M98</f>
        <v>2703385.8339241757</v>
      </c>
    </row>
    <row r="39" spans="1:12" x14ac:dyDescent="0.25">
      <c r="A39" s="107" t="s">
        <v>952</v>
      </c>
      <c r="B39" s="109">
        <f>SUM(B29:B38)</f>
        <v>32554122.405163616</v>
      </c>
      <c r="C39" s="109">
        <f t="shared" ref="C39:L39" si="4">SUM(C29:C38)</f>
        <v>68030740.131023794</v>
      </c>
      <c r="D39" s="109">
        <f t="shared" si="4"/>
        <v>36018195.262958683</v>
      </c>
      <c r="E39" s="109">
        <f t="shared" si="4"/>
        <v>38764533.306306787</v>
      </c>
      <c r="F39" s="109">
        <f t="shared" si="4"/>
        <v>37806273.321478188</v>
      </c>
      <c r="G39" s="109">
        <f t="shared" si="4"/>
        <v>38019987.422320604</v>
      </c>
      <c r="H39" s="109">
        <f t="shared" si="4"/>
        <v>38031136.602929354</v>
      </c>
      <c r="I39" s="109">
        <f t="shared" si="4"/>
        <v>37181587.197268173</v>
      </c>
      <c r="J39" s="109">
        <f t="shared" si="4"/>
        <v>38755967.474462189</v>
      </c>
      <c r="K39" s="109">
        <f t="shared" si="4"/>
        <v>40268913.29129637</v>
      </c>
      <c r="L39" s="109">
        <f t="shared" si="4"/>
        <v>40591055.075547993</v>
      </c>
    </row>
    <row r="41" spans="1:12" ht="18" customHeight="1" thickBot="1" x14ac:dyDescent="0.3">
      <c r="A41" s="96" t="s">
        <v>953</v>
      </c>
      <c r="B41" s="110">
        <f>B39-B26</f>
        <v>0</v>
      </c>
      <c r="C41" s="110">
        <f t="shared" ref="C41:L41" si="5">C39-C26</f>
        <v>0</v>
      </c>
      <c r="D41" s="110">
        <f t="shared" si="5"/>
        <v>0</v>
      </c>
      <c r="E41" s="110">
        <f t="shared" si="5"/>
        <v>0</v>
      </c>
      <c r="F41" s="110">
        <f t="shared" si="5"/>
        <v>0</v>
      </c>
      <c r="G41" s="110">
        <f t="shared" si="5"/>
        <v>0</v>
      </c>
      <c r="H41" s="110">
        <f t="shared" si="5"/>
        <v>0</v>
      </c>
      <c r="I41" s="110">
        <f t="shared" si="5"/>
        <v>0</v>
      </c>
      <c r="J41" s="110">
        <f t="shared" si="5"/>
        <v>0</v>
      </c>
      <c r="K41" s="110">
        <f t="shared" si="5"/>
        <v>0</v>
      </c>
      <c r="L41" s="110">
        <f t="shared" si="5"/>
        <v>0</v>
      </c>
    </row>
    <row r="43" spans="1:12" x14ac:dyDescent="0.25">
      <c r="E43" s="169"/>
      <c r="F43" s="169"/>
      <c r="G43" s="169"/>
      <c r="H43" s="169"/>
      <c r="I43" s="169"/>
      <c r="J43" s="169"/>
      <c r="K43" s="169"/>
      <c r="L43" s="169"/>
    </row>
  </sheetData>
  <pageMargins left="0.7" right="0.7" top="0.75" bottom="0.75" header="0.3" footer="0.3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33"/>
  <sheetViews>
    <sheetView zoomScale="110" zoomScaleNormal="110" workbookViewId="0">
      <pane xSplit="1" ySplit="7" topLeftCell="B8" activePane="bottomRight" state="frozen"/>
      <selection activeCell="B32" sqref="B32"/>
      <selection pane="topRight" activeCell="B32" sqref="B32"/>
      <selection pane="bottomLeft" activeCell="B32" sqref="B32"/>
      <selection pane="bottomRight" activeCell="G23" sqref="G23"/>
    </sheetView>
  </sheetViews>
  <sheetFormatPr defaultColWidth="9.140625" defaultRowHeight="15" x14ac:dyDescent="0.25"/>
  <cols>
    <col min="1" max="1" width="51.7109375" style="44" customWidth="1"/>
    <col min="2" max="12" width="12.7109375" style="44" customWidth="1"/>
    <col min="13" max="16384" width="9.140625" style="44"/>
  </cols>
  <sheetData>
    <row r="1" spans="1:12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1" customHeight="1" x14ac:dyDescent="0.25">
      <c r="A2" s="2" t="str">
        <f>SENARIO_NAME</f>
        <v>Option 3 PREFERRED APPROACH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ht="18" customHeight="1" x14ac:dyDescent="0.25">
      <c r="A3" s="1" t="s">
        <v>954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2" x14ac:dyDescent="0.25">
      <c r="A5" s="6"/>
      <c r="B5" s="7" t="s">
        <v>7</v>
      </c>
      <c r="C5" s="89" t="s">
        <v>8</v>
      </c>
      <c r="D5" s="89" t="s">
        <v>9</v>
      </c>
      <c r="E5" s="89" t="s">
        <v>10</v>
      </c>
      <c r="F5" s="89" t="s">
        <v>11</v>
      </c>
      <c r="G5" s="89" t="s">
        <v>12</v>
      </c>
      <c r="H5" s="89" t="s">
        <v>13</v>
      </c>
      <c r="I5" s="89" t="s">
        <v>14</v>
      </c>
      <c r="J5" s="89" t="s">
        <v>15</v>
      </c>
      <c r="K5" s="89" t="s">
        <v>16</v>
      </c>
      <c r="L5" s="89" t="s">
        <v>17</v>
      </c>
    </row>
    <row r="6" spans="1:12" x14ac:dyDescent="0.25">
      <c r="A6" s="6"/>
      <c r="B6" s="7">
        <f>BASE_YR</f>
        <v>2018</v>
      </c>
      <c r="C6" s="89">
        <f>B6+1</f>
        <v>2019</v>
      </c>
      <c r="D6" s="89">
        <f t="shared" ref="D6:L6" si="0">C6+1</f>
        <v>2020</v>
      </c>
      <c r="E6" s="89">
        <f t="shared" si="0"/>
        <v>2021</v>
      </c>
      <c r="F6" s="89">
        <f t="shared" si="0"/>
        <v>2022</v>
      </c>
      <c r="G6" s="89">
        <f t="shared" si="0"/>
        <v>2023</v>
      </c>
      <c r="H6" s="89">
        <f t="shared" si="0"/>
        <v>2024</v>
      </c>
      <c r="I6" s="89">
        <f t="shared" si="0"/>
        <v>2025</v>
      </c>
      <c r="J6" s="89">
        <f t="shared" si="0"/>
        <v>2026</v>
      </c>
      <c r="K6" s="89">
        <f t="shared" si="0"/>
        <v>2027</v>
      </c>
      <c r="L6" s="89">
        <f t="shared" si="0"/>
        <v>2028</v>
      </c>
    </row>
    <row r="7" spans="1:12" x14ac:dyDescent="0.25">
      <c r="A7" s="6"/>
      <c r="B7" s="7" t="s">
        <v>864</v>
      </c>
      <c r="C7" s="89" t="s">
        <v>864</v>
      </c>
      <c r="D7" s="89" t="s">
        <v>864</v>
      </c>
      <c r="E7" s="89" t="s">
        <v>864</v>
      </c>
      <c r="F7" s="89" t="s">
        <v>864</v>
      </c>
      <c r="G7" s="89" t="s">
        <v>864</v>
      </c>
      <c r="H7" s="89" t="s">
        <v>864</v>
      </c>
      <c r="I7" s="89" t="s">
        <v>864</v>
      </c>
      <c r="J7" s="89" t="s">
        <v>864</v>
      </c>
      <c r="K7" s="89" t="s">
        <v>864</v>
      </c>
      <c r="L7" s="89" t="s">
        <v>864</v>
      </c>
    </row>
    <row r="8" spans="1:12" x14ac:dyDescent="0.25">
      <c r="A8" s="96" t="s">
        <v>955</v>
      </c>
    </row>
    <row r="9" spans="1:12" x14ac:dyDescent="0.25">
      <c r="A9" s="6" t="s">
        <v>768</v>
      </c>
      <c r="B9" s="108">
        <f>'Note 6 to 8'!B38</f>
        <v>219626</v>
      </c>
      <c r="C9" s="108">
        <f>'Note 6 to 8'!C38</f>
        <v>582920.80825974979</v>
      </c>
      <c r="D9" s="108">
        <f>'Note 6 to 8'!D38</f>
        <v>185094.98779994482</v>
      </c>
      <c r="E9" s="108">
        <f>'Note 6 to 8'!E38</f>
        <v>37520.094048632775</v>
      </c>
      <c r="F9" s="108">
        <f>'Note 6 to 8'!F38</f>
        <v>15164.582116223406</v>
      </c>
      <c r="G9" s="108">
        <f>'Note 6 to 8'!G38</f>
        <v>42994.760822630022</v>
      </c>
      <c r="H9" s="108">
        <f>'Note 6 to 8'!H38</f>
        <v>820974.69029971585</v>
      </c>
      <c r="I9" s="108">
        <f>'Note 6 to 8'!I38</f>
        <v>901098.0752840261</v>
      </c>
      <c r="J9" s="108">
        <f>'Note 6 to 8'!J38</f>
        <v>1881365.1027292451</v>
      </c>
      <c r="K9" s="108">
        <f>'Note 6 to 8'!K38</f>
        <v>1911735.0472232187</v>
      </c>
      <c r="L9" s="108">
        <f>'Note 6 to 8'!L38</f>
        <v>2292164.5742570837</v>
      </c>
    </row>
    <row r="10" spans="1:12" x14ac:dyDescent="0.25">
      <c r="A10" s="6" t="s">
        <v>769</v>
      </c>
      <c r="B10" s="108">
        <f>'Note 6 to 8'!B39</f>
        <v>3344498</v>
      </c>
      <c r="C10" s="108">
        <f>'Note 6 to 8'!C39</f>
        <v>3494498</v>
      </c>
      <c r="D10" s="108">
        <f>'Note 6 to 8'!D39</f>
        <v>3644498</v>
      </c>
      <c r="E10" s="108">
        <f>'Note 6 to 8'!E39</f>
        <v>3794498</v>
      </c>
      <c r="F10" s="108">
        <f>'Note 6 to 8'!F39</f>
        <v>3944498</v>
      </c>
      <c r="G10" s="108">
        <f>'Note 6 to 8'!G39</f>
        <v>4094498</v>
      </c>
      <c r="H10" s="108">
        <f>'Note 6 to 8'!H39</f>
        <v>4244498</v>
      </c>
      <c r="I10" s="108">
        <f>'Note 6 to 8'!I39</f>
        <v>4394498</v>
      </c>
      <c r="J10" s="108">
        <f>'Note 6 to 8'!J39</f>
        <v>4544498</v>
      </c>
      <c r="K10" s="108">
        <f>'Note 6 to 8'!K39</f>
        <v>4694498</v>
      </c>
      <c r="L10" s="108">
        <f>'Note 6 to 8'!L39</f>
        <v>4844498</v>
      </c>
    </row>
    <row r="11" spans="1:12" x14ac:dyDescent="0.25">
      <c r="A11" s="6" t="s">
        <v>956</v>
      </c>
      <c r="B11" s="108">
        <f>'Note 6 to 8'!B40</f>
        <v>0</v>
      </c>
      <c r="C11" s="108">
        <f>'Note 6 to 8'!C40</f>
        <v>0</v>
      </c>
      <c r="D11" s="108">
        <f>'Note 6 to 8'!D40</f>
        <v>0</v>
      </c>
      <c r="E11" s="108">
        <f>'Note 6 to 8'!E40</f>
        <v>0</v>
      </c>
      <c r="F11" s="108">
        <f>'Note 6 to 8'!F40</f>
        <v>0</v>
      </c>
      <c r="G11" s="108">
        <f>'Note 6 to 8'!G40</f>
        <v>0</v>
      </c>
      <c r="H11" s="108">
        <f>'Note 6 to 8'!H40</f>
        <v>0</v>
      </c>
      <c r="I11" s="108">
        <f>'Note 6 to 8'!I40</f>
        <v>0</v>
      </c>
      <c r="J11" s="108">
        <f>'Note 6 to 8'!J40</f>
        <v>0</v>
      </c>
      <c r="K11" s="108">
        <f>'Note 6 to 8'!K40</f>
        <v>0</v>
      </c>
      <c r="L11" s="108">
        <f>'Note 6 to 8'!L40</f>
        <v>0</v>
      </c>
    </row>
    <row r="12" spans="1:12" x14ac:dyDescent="0.25">
      <c r="A12" s="6" t="s">
        <v>771</v>
      </c>
      <c r="B12" s="108">
        <f>'Note 6 to 8'!B41</f>
        <v>3617792</v>
      </c>
      <c r="C12" s="108">
        <f>'Note 6 to 8'!C41</f>
        <v>2141487.4287084132</v>
      </c>
      <c r="D12" s="108">
        <f>'Note 6 to 8'!D41</f>
        <v>3306530.5348476595</v>
      </c>
      <c r="E12" s="108">
        <f>'Note 6 to 8'!E41</f>
        <v>3692610.2447819952</v>
      </c>
      <c r="F12" s="108">
        <f>'Note 6 to 8'!F41</f>
        <v>3796250.1940024989</v>
      </c>
      <c r="G12" s="108">
        <f>'Note 6 to 8'!G41</f>
        <v>3080225.3121350901</v>
      </c>
      <c r="H12" s="108">
        <f>'Note 6 to 8'!H41</f>
        <v>1352899.3789941519</v>
      </c>
      <c r="I12" s="108">
        <f>'Note 6 to 8'!I41</f>
        <v>1591406.6328446032</v>
      </c>
      <c r="J12" s="108">
        <f>'Note 6 to 8'!J41</f>
        <v>1542352.5263270796</v>
      </c>
      <c r="K12" s="108">
        <f>'Note 6 to 8'!K41</f>
        <v>1758397.1981101395</v>
      </c>
      <c r="L12" s="108">
        <f>'Note 6 to 8'!L41</f>
        <v>2485802.2497394071</v>
      </c>
    </row>
    <row r="13" spans="1:12" x14ac:dyDescent="0.25">
      <c r="A13" s="6" t="s">
        <v>772</v>
      </c>
      <c r="B13" s="108">
        <f>'Note 6 to 8'!B42</f>
        <v>0</v>
      </c>
      <c r="C13" s="108">
        <f>'Note 6 to 8'!C42</f>
        <v>0</v>
      </c>
      <c r="D13" s="108">
        <f>'Note 6 to 8'!D42</f>
        <v>0</v>
      </c>
      <c r="E13" s="108">
        <f>'Note 6 to 8'!E42</f>
        <v>0</v>
      </c>
      <c r="F13" s="108">
        <f>'Note 6 to 8'!F42</f>
        <v>0</v>
      </c>
      <c r="G13" s="108">
        <f>'Note 6 to 8'!G42</f>
        <v>0</v>
      </c>
      <c r="H13" s="108">
        <f>'Note 6 to 8'!H42</f>
        <v>0</v>
      </c>
      <c r="I13" s="108">
        <f>'Note 6 to 8'!I42</f>
        <v>0</v>
      </c>
      <c r="J13" s="108">
        <f>'Note 6 to 8'!J42</f>
        <v>0</v>
      </c>
      <c r="K13" s="108">
        <f>'Note 6 to 8'!K42</f>
        <v>0</v>
      </c>
      <c r="L13" s="108">
        <f>'Note 6 to 8'!L42</f>
        <v>0</v>
      </c>
    </row>
    <row r="14" spans="1:12" x14ac:dyDescent="0.25">
      <c r="A14" s="6" t="s">
        <v>26</v>
      </c>
      <c r="B14" s="108">
        <f>'Note 6 to 8'!B43</f>
        <v>0</v>
      </c>
      <c r="C14" s="108">
        <f>'Note 6 to 8'!C43</f>
        <v>0</v>
      </c>
      <c r="D14" s="108">
        <f>'Note 6 to 8'!D43</f>
        <v>0</v>
      </c>
      <c r="E14" s="108">
        <f>'Note 6 to 8'!E43</f>
        <v>0</v>
      </c>
      <c r="F14" s="108">
        <f>'Note 6 to 8'!F43</f>
        <v>0</v>
      </c>
      <c r="G14" s="108">
        <f>'Note 6 to 8'!G43</f>
        <v>0</v>
      </c>
      <c r="H14" s="108">
        <f>'Note 6 to 8'!H43</f>
        <v>0</v>
      </c>
      <c r="I14" s="108">
        <f>'Note 6 to 8'!I43</f>
        <v>0</v>
      </c>
      <c r="J14" s="108">
        <f>'Note 6 to 8'!J43</f>
        <v>0</v>
      </c>
      <c r="K14" s="108">
        <f>'Note 6 to 8'!K43</f>
        <v>0</v>
      </c>
      <c r="L14" s="108">
        <f>'Note 6 to 8'!L43</f>
        <v>0</v>
      </c>
    </row>
    <row r="15" spans="1:12" x14ac:dyDescent="0.25">
      <c r="A15" s="107" t="s">
        <v>957</v>
      </c>
      <c r="B15" s="109">
        <f>SUM(B9:B14)</f>
        <v>7181916</v>
      </c>
      <c r="C15" s="109">
        <f t="shared" ref="C15:L15" si="1">SUM(C9:C14)</f>
        <v>6218906.2369681634</v>
      </c>
      <c r="D15" s="109">
        <f t="shared" si="1"/>
        <v>7136123.5226476043</v>
      </c>
      <c r="E15" s="109">
        <f t="shared" si="1"/>
        <v>7524628.3388306275</v>
      </c>
      <c r="F15" s="109">
        <f t="shared" si="1"/>
        <v>7755912.7761187218</v>
      </c>
      <c r="G15" s="109">
        <f t="shared" si="1"/>
        <v>7217718.0729577206</v>
      </c>
      <c r="H15" s="109">
        <f t="shared" si="1"/>
        <v>6418372.0692938678</v>
      </c>
      <c r="I15" s="109">
        <f t="shared" si="1"/>
        <v>6887002.7081286293</v>
      </c>
      <c r="J15" s="109">
        <f t="shared" si="1"/>
        <v>7968215.6290563252</v>
      </c>
      <c r="K15" s="109">
        <f t="shared" si="1"/>
        <v>8364630.2453333586</v>
      </c>
      <c r="L15" s="109">
        <f t="shared" si="1"/>
        <v>9622464.8239964899</v>
      </c>
    </row>
    <row r="17" spans="1:12" x14ac:dyDescent="0.25">
      <c r="A17" s="96" t="s">
        <v>958</v>
      </c>
    </row>
    <row r="18" spans="1:12" x14ac:dyDescent="0.25">
      <c r="A18" s="6" t="s">
        <v>775</v>
      </c>
      <c r="B18" s="108">
        <f>'Note 6 to 8'!B47</f>
        <v>2552263</v>
      </c>
      <c r="C18" s="108">
        <f>'Note 6 to 8'!C47</f>
        <v>3639122.0150524895</v>
      </c>
      <c r="D18" s="108">
        <f>'Note 6 to 8'!D47</f>
        <v>2034642.1093743378</v>
      </c>
      <c r="E18" s="108">
        <f>'Note 6 to 8'!E47</f>
        <v>1156787.9257331537</v>
      </c>
      <c r="F18" s="108">
        <f>'Note 6 to 8'!F47</f>
        <v>888922.40849402267</v>
      </c>
      <c r="G18" s="108">
        <f>'Note 6 to 8'!G47</f>
        <v>930163.1894104383</v>
      </c>
      <c r="H18" s="108">
        <f>'Note 6 to 8'!H47</f>
        <v>1633262.104733204</v>
      </c>
      <c r="I18" s="108">
        <f>'Note 6 to 8'!I47</f>
        <v>2693113.8739812556</v>
      </c>
      <c r="J18" s="108">
        <f>'Note 6 to 8'!J47</f>
        <v>2487353.7780687609</v>
      </c>
      <c r="K18" s="108">
        <f>'Note 6 to 8'!K47</f>
        <v>2692524.2002806556</v>
      </c>
      <c r="L18" s="108">
        <f>'Note 6 to 8'!L47</f>
        <v>2189138.3663564799</v>
      </c>
    </row>
    <row r="19" spans="1:12" x14ac:dyDescent="0.25">
      <c r="A19" s="6" t="s">
        <v>776</v>
      </c>
      <c r="B19" s="108">
        <f>'Note 6 to 8'!B48</f>
        <v>7881527</v>
      </c>
      <c r="C19" s="108">
        <f>'Note 6 to 8'!C48</f>
        <v>8202060.321921031</v>
      </c>
      <c r="D19" s="108">
        <f>'Note 6 to 8'!D48</f>
        <v>8535629.3931913618</v>
      </c>
      <c r="E19" s="108">
        <f>'Note 6 to 8'!E48</f>
        <v>8882764.363874888</v>
      </c>
      <c r="F19" s="108">
        <f>'Note 6 to 8'!F48</f>
        <v>9244016.9446748495</v>
      </c>
      <c r="G19" s="108">
        <f>'Note 6 to 8'!G48</f>
        <v>9619961.2837820984</v>
      </c>
      <c r="H19" s="108">
        <f>'Note 6 to 8'!H48</f>
        <v>10011194.879383862</v>
      </c>
      <c r="I19" s="108">
        <f>'Note 6 to 8'!I48</f>
        <v>10418339.52928327</v>
      </c>
      <c r="J19" s="108">
        <f>'Note 6 to 8'!J48</f>
        <v>10842042.319138886</v>
      </c>
      <c r="K19" s="108">
        <f>'Note 6 to 8'!K48</f>
        <v>11282976.650894901</v>
      </c>
      <c r="L19" s="108">
        <f>'Note 6 to 8'!L48</f>
        <v>11741843.313036485</v>
      </c>
    </row>
    <row r="20" spans="1:12" x14ac:dyDescent="0.25">
      <c r="A20" s="6" t="s">
        <v>777</v>
      </c>
      <c r="B20" s="108">
        <f>'Note 6 to 8'!B49</f>
        <v>2995671</v>
      </c>
      <c r="C20" s="108">
        <f>'Note 6 to 8'!C49</f>
        <v>3000000</v>
      </c>
      <c r="D20" s="108">
        <f>'Note 6 to 8'!D49</f>
        <v>3000000</v>
      </c>
      <c r="E20" s="108">
        <f>'Note 6 to 8'!E49</f>
        <v>3000000</v>
      </c>
      <c r="F20" s="108">
        <f>'Note 6 to 8'!F49</f>
        <v>4000000</v>
      </c>
      <c r="G20" s="108">
        <f>'Note 6 to 8'!G49</f>
        <v>4000000</v>
      </c>
      <c r="H20" s="108">
        <f>'Note 6 to 8'!H49</f>
        <v>4000000</v>
      </c>
      <c r="I20" s="108">
        <f>'Note 6 to 8'!I49</f>
        <v>6000000</v>
      </c>
      <c r="J20" s="108">
        <f>'Note 6 to 8'!J49</f>
        <v>6000000</v>
      </c>
      <c r="K20" s="108">
        <f>'Note 6 to 8'!K49</f>
        <v>6000000</v>
      </c>
      <c r="L20" s="108">
        <f>'Note 6 to 8'!L49</f>
        <v>6000000</v>
      </c>
    </row>
    <row r="21" spans="1:12" x14ac:dyDescent="0.25">
      <c r="A21" s="6" t="s">
        <v>778</v>
      </c>
      <c r="B21" s="108">
        <f>'Note 6 to 8'!B50</f>
        <v>533188</v>
      </c>
      <c r="C21" s="108">
        <f>'Note 6 to 8'!C50</f>
        <v>533188</v>
      </c>
      <c r="D21" s="108">
        <f>'Note 6 to 8'!D50</f>
        <v>533188</v>
      </c>
      <c r="E21" s="108">
        <f>'Note 6 to 8'!E50</f>
        <v>533188</v>
      </c>
      <c r="F21" s="108">
        <f>'Note 6 to 8'!F50</f>
        <v>533188</v>
      </c>
      <c r="G21" s="108">
        <f>'Note 6 to 8'!G50</f>
        <v>533188</v>
      </c>
      <c r="H21" s="108">
        <f>'Note 6 to 8'!H50</f>
        <v>533188</v>
      </c>
      <c r="I21" s="108">
        <f>'Note 6 to 8'!I50</f>
        <v>533188</v>
      </c>
      <c r="J21" s="108">
        <f>'Note 6 to 8'!J50</f>
        <v>533188</v>
      </c>
      <c r="K21" s="108">
        <f>'Note 6 to 8'!K50</f>
        <v>533188</v>
      </c>
      <c r="L21" s="108">
        <f>'Note 6 to 8'!L50</f>
        <v>533188</v>
      </c>
    </row>
    <row r="22" spans="1:12" x14ac:dyDescent="0.25">
      <c r="A22" s="6" t="s">
        <v>663</v>
      </c>
      <c r="B22" s="108">
        <f>'Note 6 to 8'!B51</f>
        <v>5174737</v>
      </c>
      <c r="C22" s="108">
        <f>'Note 6 to 8'!C51</f>
        <v>2174737</v>
      </c>
      <c r="D22" s="108">
        <f>'Note 6 to 8'!D51</f>
        <v>2174737</v>
      </c>
      <c r="E22" s="108">
        <f>'Note 6 to 8'!E51</f>
        <v>2174737</v>
      </c>
      <c r="F22" s="108">
        <f>'Note 6 to 8'!F51</f>
        <v>2174737</v>
      </c>
      <c r="G22" s="108">
        <f>'Note 6 to 8'!G51</f>
        <v>2174737</v>
      </c>
      <c r="H22" s="108">
        <f>'Note 6 to 8'!H51</f>
        <v>2174737</v>
      </c>
      <c r="I22" s="108">
        <f>'Note 6 to 8'!I51</f>
        <v>2174737</v>
      </c>
      <c r="J22" s="108">
        <f>'Note 6 to 8'!J51</f>
        <v>2174737</v>
      </c>
      <c r="K22" s="108">
        <f>'Note 6 to 8'!K51</f>
        <v>2174737</v>
      </c>
      <c r="L22" s="108">
        <f>'Note 6 to 8'!L51</f>
        <v>2174737</v>
      </c>
    </row>
    <row r="23" spans="1:12" x14ac:dyDescent="0.25">
      <c r="A23" s="6" t="s">
        <v>779</v>
      </c>
      <c r="B23" s="108">
        <f>'Note 6 to 8'!B52</f>
        <v>504532</v>
      </c>
      <c r="C23" s="108">
        <f>'Note 6 to 8'!C52</f>
        <v>1000000</v>
      </c>
      <c r="D23" s="108">
        <f>'Note 6 to 8'!D52</f>
        <v>500000</v>
      </c>
      <c r="E23" s="108">
        <f>'Note 6 to 8'!E52</f>
        <v>1750000</v>
      </c>
      <c r="F23" s="108">
        <f>'Note 6 to 8'!F52</f>
        <v>250000</v>
      </c>
      <c r="G23" s="108">
        <f>'Note 6 to 8'!G52</f>
        <v>500000</v>
      </c>
      <c r="H23" s="108">
        <f>'Note 6 to 8'!H52</f>
        <v>750000</v>
      </c>
      <c r="I23" s="108">
        <f>'Note 6 to 8'!I52</f>
        <v>1000000</v>
      </c>
      <c r="J23" s="108">
        <f>'Note 6 to 8'!J52</f>
        <v>500000</v>
      </c>
      <c r="K23" s="108">
        <f>'Note 6 to 8'!K52</f>
        <v>500000</v>
      </c>
      <c r="L23" s="108">
        <f>'Note 6 to 8'!L52</f>
        <v>1250000</v>
      </c>
    </row>
    <row r="24" spans="1:12" x14ac:dyDescent="0.25">
      <c r="A24" s="6" t="s">
        <v>780</v>
      </c>
      <c r="B24" s="108">
        <f>'Note 6 to 8'!B53</f>
        <v>0</v>
      </c>
      <c r="C24" s="108">
        <f>'Note 6 to 8'!C53</f>
        <v>225000</v>
      </c>
      <c r="D24" s="108">
        <f>'Note 6 to 8'!D53</f>
        <v>450000</v>
      </c>
      <c r="E24" s="108">
        <f>'Note 6 to 8'!E53</f>
        <v>0</v>
      </c>
      <c r="F24" s="108">
        <f>'Note 6 to 8'!F53</f>
        <v>200000</v>
      </c>
      <c r="G24" s="108">
        <f>'Note 6 to 8'!G53</f>
        <v>400000</v>
      </c>
      <c r="H24" s="108">
        <f>'Note 6 to 8'!H53</f>
        <v>600000</v>
      </c>
      <c r="I24" s="108">
        <f>'Note 6 to 8'!I53</f>
        <v>0</v>
      </c>
      <c r="J24" s="108">
        <f>'Note 6 to 8'!J53</f>
        <v>300000</v>
      </c>
      <c r="K24" s="108">
        <f>'Note 6 to 8'!K53</f>
        <v>600000</v>
      </c>
      <c r="L24" s="108">
        <f>'Note 6 to 8'!L53</f>
        <v>900000</v>
      </c>
    </row>
    <row r="25" spans="1:12" x14ac:dyDescent="0.25">
      <c r="A25" s="6" t="s">
        <v>781</v>
      </c>
      <c r="B25" s="108">
        <f>'Note 6 to 8'!B54</f>
        <v>464082</v>
      </c>
      <c r="C25" s="108">
        <f>'Note 6 to 8'!C54</f>
        <v>1000000</v>
      </c>
      <c r="D25" s="108">
        <f>'Note 6 to 8'!D54</f>
        <v>1000000</v>
      </c>
      <c r="E25" s="108">
        <f>'Note 6 to 8'!E54</f>
        <v>1214082</v>
      </c>
      <c r="F25" s="108">
        <f>'Note 6 to 8'!F54</f>
        <v>1464082</v>
      </c>
      <c r="G25" s="108">
        <f>'Note 6 to 8'!G54</f>
        <v>1714082</v>
      </c>
      <c r="H25" s="108">
        <f>'Note 6 to 8'!H54</f>
        <v>1964081.9999999991</v>
      </c>
      <c r="I25" s="108">
        <f>'Note 6 to 8'!I54</f>
        <v>2214082</v>
      </c>
      <c r="J25" s="108">
        <f>'Note 6 to 8'!J54</f>
        <v>2464081.9999999991</v>
      </c>
      <c r="K25" s="108">
        <f>'Note 6 to 8'!K54</f>
        <v>2464082.0000000009</v>
      </c>
      <c r="L25" s="108">
        <f>'Note 6 to 8'!L54</f>
        <v>2464082.0000000009</v>
      </c>
    </row>
    <row r="26" spans="1:12" x14ac:dyDescent="0.25">
      <c r="A26" s="6" t="s">
        <v>782</v>
      </c>
      <c r="B26" s="108">
        <f>'Note 6 to 8'!B55</f>
        <v>8593334</v>
      </c>
      <c r="C26" s="108">
        <f>'Note 6 to 8'!C55</f>
        <v>5000000</v>
      </c>
      <c r="D26" s="108">
        <f>'Note 6 to 8'!D55</f>
        <v>5000000</v>
      </c>
      <c r="E26" s="108">
        <f>'Note 6 to 8'!E55</f>
        <v>3000000</v>
      </c>
      <c r="F26" s="108">
        <f>'Note 6 to 8'!F55</f>
        <v>3000000</v>
      </c>
      <c r="G26" s="108">
        <f>'Note 6 to 8'!G55</f>
        <v>3000000</v>
      </c>
      <c r="H26" s="108">
        <f>'Note 6 to 8'!H55</f>
        <v>3000000</v>
      </c>
      <c r="I26" s="108">
        <f>'Note 6 to 8'!I55</f>
        <v>2800000</v>
      </c>
      <c r="J26" s="108">
        <f>'Note 6 to 8'!J55</f>
        <v>3000000</v>
      </c>
      <c r="K26" s="108">
        <f>'Note 6 to 8'!K55</f>
        <v>3000000</v>
      </c>
      <c r="L26" s="108">
        <f>'Note 6 to 8'!L55</f>
        <v>2500000</v>
      </c>
    </row>
    <row r="27" spans="1:12" x14ac:dyDescent="0.25">
      <c r="A27" s="6" t="s">
        <v>783</v>
      </c>
      <c r="B27" s="108">
        <f>'Note 6 to 8'!B56</f>
        <v>171734</v>
      </c>
      <c r="C27" s="108">
        <f>'Note 6 to 8'!C56</f>
        <v>171734</v>
      </c>
      <c r="D27" s="108">
        <f>'Note 6 to 8'!D56</f>
        <v>171734</v>
      </c>
      <c r="E27" s="108">
        <f>'Note 6 to 8'!E56</f>
        <v>171734</v>
      </c>
      <c r="F27" s="108">
        <f>'Note 6 to 8'!F56</f>
        <v>171734</v>
      </c>
      <c r="G27" s="108">
        <f>'Note 6 to 8'!G56</f>
        <v>171734</v>
      </c>
      <c r="H27" s="108">
        <f>'Note 6 to 8'!H56</f>
        <v>171734</v>
      </c>
      <c r="I27" s="108">
        <f>'Note 6 to 8'!I56</f>
        <v>171734</v>
      </c>
      <c r="J27" s="108">
        <f>'Note 6 to 8'!J56</f>
        <v>171734</v>
      </c>
      <c r="K27" s="108">
        <f>'Note 6 to 8'!K56</f>
        <v>171734</v>
      </c>
      <c r="L27" s="108">
        <f>'Note 6 to 8'!L56</f>
        <v>171734</v>
      </c>
    </row>
    <row r="28" spans="1:12" x14ac:dyDescent="0.25">
      <c r="A28" s="6" t="s">
        <v>784</v>
      </c>
      <c r="B28" s="108">
        <f>'Note 6 to 8'!B57</f>
        <v>15187</v>
      </c>
      <c r="C28" s="108">
        <f>'Note 6 to 8'!C57</f>
        <v>15187</v>
      </c>
      <c r="D28" s="108">
        <f>'Note 6 to 8'!D57</f>
        <v>15187</v>
      </c>
      <c r="E28" s="108">
        <f>'Note 6 to 8'!E57</f>
        <v>15187</v>
      </c>
      <c r="F28" s="108">
        <f>'Note 6 to 8'!F57</f>
        <v>15187</v>
      </c>
      <c r="G28" s="108">
        <f>'Note 6 to 8'!G57</f>
        <v>15187</v>
      </c>
      <c r="H28" s="108">
        <f>'Note 6 to 8'!H57</f>
        <v>15187</v>
      </c>
      <c r="I28" s="108">
        <f>'Note 6 to 8'!I57</f>
        <v>15187</v>
      </c>
      <c r="J28" s="108">
        <f>'Note 6 to 8'!J57</f>
        <v>15187</v>
      </c>
      <c r="K28" s="108">
        <f>'Note 6 to 8'!K57</f>
        <v>15187</v>
      </c>
      <c r="L28" s="108">
        <f>'Note 6 to 8'!L57</f>
        <v>15187</v>
      </c>
    </row>
    <row r="29" spans="1:12" x14ac:dyDescent="0.25">
      <c r="A29" s="6" t="s">
        <v>785</v>
      </c>
      <c r="B29" s="108">
        <f>'Note 6 to 8'!B59</f>
        <v>1144060</v>
      </c>
      <c r="C29" s="108">
        <f>'Note 6 to 8'!C59</f>
        <v>1144060</v>
      </c>
      <c r="D29" s="108">
        <f>'Note 6 to 8'!D59</f>
        <v>1144060</v>
      </c>
      <c r="E29" s="108">
        <f>'Note 6 to 8'!E59</f>
        <v>1144060</v>
      </c>
      <c r="F29" s="108">
        <f>'Note 6 to 8'!F59</f>
        <v>1144060</v>
      </c>
      <c r="G29" s="108">
        <f>'Note 6 to 8'!G59</f>
        <v>1144060</v>
      </c>
      <c r="H29" s="108">
        <f>'Note 6 to 8'!H59</f>
        <v>1144060</v>
      </c>
      <c r="I29" s="108">
        <f>'Note 6 to 8'!I59</f>
        <v>1144060</v>
      </c>
      <c r="J29" s="108">
        <f>'Note 6 to 8'!J59</f>
        <v>1144060</v>
      </c>
      <c r="K29" s="108">
        <f>'Note 6 to 8'!K59</f>
        <v>1144060</v>
      </c>
      <c r="L29" s="108">
        <f>'Note 6 to 8'!L59</f>
        <v>1144060</v>
      </c>
    </row>
    <row r="30" spans="1:12" x14ac:dyDescent="0.25">
      <c r="A30" s="6" t="s">
        <v>786</v>
      </c>
      <c r="B30" s="108">
        <f>'Note 6 to 8'!B60</f>
        <v>1589434</v>
      </c>
      <c r="C30" s="108">
        <f>'Note 6 to 8'!C60</f>
        <v>1327887.5822923109</v>
      </c>
      <c r="D30" s="108">
        <f>'Note 6 to 8'!D60</f>
        <v>1198342.0645195646</v>
      </c>
      <c r="E30" s="108">
        <f>'Note 6 to 8'!E60</f>
        <v>1064544.8171868417</v>
      </c>
      <c r="F30" s="108">
        <f>'Note 6 to 8'!F60</f>
        <v>926393.13585886883</v>
      </c>
      <c r="G30" s="108">
        <f>'Note 6 to 8'!G60</f>
        <v>783782.07401806128</v>
      </c>
      <c r="H30" s="108">
        <f>'Note 6 to 8'!H60</f>
        <v>636604.39622277021</v>
      </c>
      <c r="I30" s="108">
        <f>'Note 6 to 8'!I60</f>
        <v>484750.53030741296</v>
      </c>
      <c r="J30" s="108">
        <f>'Note 6 to 8'!J60</f>
        <v>328108.51860510127</v>
      </c>
      <c r="K30" s="108">
        <f>'Note 6 to 8'!K60</f>
        <v>166563.96817298644</v>
      </c>
      <c r="L30" s="108">
        <f>'Note 6 to 8'!L60</f>
        <v>1.4586839824914932E-7</v>
      </c>
    </row>
    <row r="31" spans="1:12" x14ac:dyDescent="0.25">
      <c r="A31" s="107" t="s">
        <v>959</v>
      </c>
      <c r="B31" s="109">
        <f t="shared" ref="B31:L31" si="2">SUM(B18:B30)</f>
        <v>31619749</v>
      </c>
      <c r="C31" s="109">
        <f t="shared" si="2"/>
        <v>27432975.919265829</v>
      </c>
      <c r="D31" s="109">
        <f t="shared" si="2"/>
        <v>25757519.567085266</v>
      </c>
      <c r="E31" s="109">
        <f t="shared" si="2"/>
        <v>24107085.106794886</v>
      </c>
      <c r="F31" s="109">
        <f t="shared" si="2"/>
        <v>24012320.489027739</v>
      </c>
      <c r="G31" s="109">
        <f t="shared" si="2"/>
        <v>24986894.547210597</v>
      </c>
      <c r="H31" s="109">
        <f t="shared" si="2"/>
        <v>26634049.380339839</v>
      </c>
      <c r="I31" s="109">
        <f t="shared" si="2"/>
        <v>29649191.933571938</v>
      </c>
      <c r="J31" s="109">
        <f t="shared" si="2"/>
        <v>29960492.615812749</v>
      </c>
      <c r="K31" s="109">
        <f t="shared" si="2"/>
        <v>30745052.81934854</v>
      </c>
      <c r="L31" s="109">
        <f t="shared" si="2"/>
        <v>31083969.679393109</v>
      </c>
    </row>
    <row r="33" spans="1:12" ht="18" customHeight="1" thickBot="1" x14ac:dyDescent="0.3">
      <c r="A33" s="96" t="s">
        <v>960</v>
      </c>
      <c r="B33" s="110">
        <f t="shared" ref="B33:L33" si="3">B15+B31</f>
        <v>38801665</v>
      </c>
      <c r="C33" s="110">
        <f t="shared" si="3"/>
        <v>33651882.156233996</v>
      </c>
      <c r="D33" s="110">
        <f t="shared" si="3"/>
        <v>32893643.08973287</v>
      </c>
      <c r="E33" s="110">
        <f t="shared" si="3"/>
        <v>31631713.445625514</v>
      </c>
      <c r="F33" s="110">
        <f t="shared" si="3"/>
        <v>31768233.26514646</v>
      </c>
      <c r="G33" s="110">
        <f t="shared" si="3"/>
        <v>32204612.620168317</v>
      </c>
      <c r="H33" s="110">
        <f t="shared" si="3"/>
        <v>33052421.449633706</v>
      </c>
      <c r="I33" s="110">
        <f t="shared" si="3"/>
        <v>36536194.641700566</v>
      </c>
      <c r="J33" s="110">
        <f t="shared" si="3"/>
        <v>37928708.244869076</v>
      </c>
      <c r="K33" s="110">
        <f t="shared" si="3"/>
        <v>39109683.064681903</v>
      </c>
      <c r="L33" s="110">
        <f t="shared" si="3"/>
        <v>40706434.503389597</v>
      </c>
    </row>
  </sheetData>
  <pageMargins left="0.7" right="0.7" top="0.75" bottom="0.75" header="0.3" footer="0.3"/>
  <pageSetup paperSize="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4"/>
  <sheetViews>
    <sheetView zoomScale="120" zoomScaleNormal="120" workbookViewId="0">
      <pane xSplit="2" ySplit="5" topLeftCell="C117" activePane="bottomRight" state="frozen"/>
      <selection pane="topRight" activeCell="C1" sqref="C1"/>
      <selection pane="bottomLeft" activeCell="A6" sqref="A6"/>
      <selection pane="bottomRight" activeCell="D122" sqref="D122"/>
    </sheetView>
  </sheetViews>
  <sheetFormatPr defaultRowHeight="15" x14ac:dyDescent="0.25"/>
  <cols>
    <col min="1" max="1" width="20.7109375" customWidth="1"/>
    <col min="2" max="2" width="40.42578125" customWidth="1"/>
    <col min="3" max="13" width="12.7109375" customWidth="1"/>
  </cols>
  <sheetData>
    <row r="1" spans="1:13" ht="21" customHeight="1" x14ac:dyDescent="0.25">
      <c r="A1" s="2" t="str">
        <f>MODEL_NAME</f>
        <v>Long Term Financial Plan 2018-28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5.75" x14ac:dyDescent="0.25">
      <c r="A2" s="1" t="s">
        <v>501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6"/>
      <c r="C4" s="7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17</v>
      </c>
    </row>
    <row r="5" spans="1:13" x14ac:dyDescent="0.25">
      <c r="A5" s="6"/>
      <c r="B5" s="6"/>
      <c r="C5" s="7">
        <f>BASE_YR</f>
        <v>2018</v>
      </c>
      <c r="D5" s="12">
        <f>C5+1</f>
        <v>2019</v>
      </c>
      <c r="E5" s="12">
        <f t="shared" ref="E5:M5" si="0">D5+1</f>
        <v>2020</v>
      </c>
      <c r="F5" s="12">
        <f t="shared" si="0"/>
        <v>2021</v>
      </c>
      <c r="G5" s="12">
        <f t="shared" si="0"/>
        <v>2022</v>
      </c>
      <c r="H5" s="12">
        <f t="shared" si="0"/>
        <v>2023</v>
      </c>
      <c r="I5" s="12">
        <f t="shared" si="0"/>
        <v>2024</v>
      </c>
      <c r="J5" s="12">
        <f t="shared" si="0"/>
        <v>2025</v>
      </c>
      <c r="K5" s="12">
        <f t="shared" si="0"/>
        <v>2026</v>
      </c>
      <c r="L5" s="12">
        <f t="shared" si="0"/>
        <v>2027</v>
      </c>
      <c r="M5" s="12">
        <f t="shared" si="0"/>
        <v>2028</v>
      </c>
    </row>
    <row r="7" spans="1:13" ht="15.75" x14ac:dyDescent="0.25">
      <c r="B7" s="28" t="s">
        <v>501</v>
      </c>
    </row>
    <row r="9" spans="1:13" x14ac:dyDescent="0.25">
      <c r="B9" s="49" t="s">
        <v>502</v>
      </c>
    </row>
    <row r="11" spans="1:13" x14ac:dyDescent="0.25">
      <c r="B11" s="3" t="s">
        <v>39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50" t="s">
        <v>442</v>
      </c>
      <c r="B12" s="50" t="s">
        <v>503</v>
      </c>
      <c r="C12" s="51">
        <f>SUMIF(TB!$A:$A,A12,TB!$D:$D)</f>
        <v>-56793815</v>
      </c>
      <c r="D12" s="51">
        <f>C12*(1+Assumptions!C16)</f>
        <v>-61461182.043994024</v>
      </c>
      <c r="E12" s="51">
        <f>D12*(1+Assumptions!D16)</f>
        <v>-65207098.314054377</v>
      </c>
      <c r="F12" s="51">
        <f>E12*(1+Assumptions!E16)</f>
        <v>-69179177.621592462</v>
      </c>
      <c r="G12" s="51">
        <f>F12*(1+Assumptions!F16)</f>
        <v>-71301757.796794236</v>
      </c>
      <c r="H12" s="51">
        <f>G12*(1+Assumptions!G16)</f>
        <v>-73487174.466811344</v>
      </c>
      <c r="I12" s="51">
        <f>H12*(1+Assumptions!H16)</f>
        <v>-75737241.783159837</v>
      </c>
      <c r="J12" s="51">
        <f>I12*(1+Assumptions!I16)</f>
        <v>-78053825.309998795</v>
      </c>
      <c r="K12" s="51">
        <f>J12*(1+Assumptions!J16)</f>
        <v>-80438843.460444853</v>
      </c>
      <c r="L12" s="51">
        <f>K12*(1+Assumptions!K16)</f>
        <v>-82894268.972559303</v>
      </c>
      <c r="M12" s="51">
        <f>L12*(1+Assumptions!L16)</f>
        <v>-85422130.426093325</v>
      </c>
    </row>
    <row r="13" spans="1:13" x14ac:dyDescent="0.25">
      <c r="A13" s="50" t="s">
        <v>443</v>
      </c>
      <c r="B13" s="50" t="s">
        <v>504</v>
      </c>
      <c r="C13" s="51">
        <f>SUMIF(TB!$A:$A,A13,TB!$D:$D)</f>
        <v>-14133918</v>
      </c>
      <c r="D13" s="51">
        <f>C13*(1+Assumptions!C16)</f>
        <v>-15295456.154739454</v>
      </c>
      <c r="E13" s="51">
        <f>D13*(1+Assumptions!D16)</f>
        <v>-16227678.675728736</v>
      </c>
      <c r="F13" s="51">
        <f>E13*(1+Assumptions!E16)</f>
        <v>-17216184.963292621</v>
      </c>
      <c r="G13" s="51">
        <f>F13*(1+Assumptions!F16)</f>
        <v>-17744418.084183116</v>
      </c>
      <c r="H13" s="51">
        <f>G13*(1+Assumptions!G16)</f>
        <v>-18288288.926630568</v>
      </c>
      <c r="I13" s="51">
        <f>H13*(1+Assumptions!H16)</f>
        <v>-18848248.967063662</v>
      </c>
      <c r="J13" s="51">
        <f>I13*(1+Assumptions!I16)</f>
        <v>-19424762.476650797</v>
      </c>
      <c r="K13" s="51">
        <f>J13*(1+Assumptions!J16)</f>
        <v>-20018306.878746629</v>
      </c>
      <c r="L13" s="51">
        <f>K13*(1+Assumptions!K16)</f>
        <v>-20629373.116211638</v>
      </c>
      <c r="M13" s="51">
        <f>L13*(1+Assumptions!L16)</f>
        <v>-21258466.028874941</v>
      </c>
    </row>
    <row r="14" spans="1:13" x14ac:dyDescent="0.25">
      <c r="A14" s="50" t="s">
        <v>40</v>
      </c>
      <c r="B14" s="52" t="s">
        <v>41</v>
      </c>
      <c r="C14" s="53">
        <f>SUMIF('Manual Adjust'!$A:$A,$A14,'Manual Adjust'!C:C)</f>
        <v>0</v>
      </c>
      <c r="D14" s="53">
        <f>SUMIF('Manual Adjust'!$A:$A,$A14,'Manual Adjust'!D:D)</f>
        <v>0</v>
      </c>
      <c r="E14" s="53">
        <f>SUMIF('Manual Adjust'!$A:$A,$A14,'Manual Adjust'!E:E)</f>
        <v>0</v>
      </c>
      <c r="F14" s="53">
        <f>SUMIF('Manual Adjust'!$A:$A,$A14,'Manual Adjust'!F:F)</f>
        <v>0</v>
      </c>
      <c r="G14" s="53">
        <f>SUMIF('Manual Adjust'!$A:$A,$A14,'Manual Adjust'!G:G)</f>
        <v>0</v>
      </c>
      <c r="H14" s="53">
        <f>SUMIF('Manual Adjust'!$A:$A,$A14,'Manual Adjust'!H:H)</f>
        <v>0</v>
      </c>
      <c r="I14" s="53">
        <f>SUMIF('Manual Adjust'!$A:$A,$A14,'Manual Adjust'!I:I)</f>
        <v>0</v>
      </c>
      <c r="J14" s="53">
        <f>SUMIF('Manual Adjust'!$A:$A,$A14,'Manual Adjust'!J:J)</f>
        <v>0</v>
      </c>
      <c r="K14" s="53">
        <f>SUMIF('Manual Adjust'!$A:$A,$A14,'Manual Adjust'!K:K)</f>
        <v>0</v>
      </c>
      <c r="L14" s="53">
        <f>SUMIF('Manual Adjust'!$A:$A,$A14,'Manual Adjust'!L:L)</f>
        <v>0</v>
      </c>
      <c r="M14" s="53">
        <f>SUMIF('Manual Adjust'!$A:$A,$A14,'Manual Adjust'!M:M)</f>
        <v>0</v>
      </c>
    </row>
    <row r="15" spans="1:13" x14ac:dyDescent="0.25">
      <c r="B15" s="3" t="s">
        <v>505</v>
      </c>
      <c r="C15" s="54">
        <f t="shared" ref="C15:M15" si="1">SUBTOTAL(9,C12:C14)</f>
        <v>-70927733</v>
      </c>
      <c r="D15" s="54">
        <f t="shared" si="1"/>
        <v>-76756638.198733479</v>
      </c>
      <c r="E15" s="54">
        <f t="shared" si="1"/>
        <v>-81434776.989783108</v>
      </c>
      <c r="F15" s="54">
        <f t="shared" si="1"/>
        <v>-86395362.584885091</v>
      </c>
      <c r="G15" s="54">
        <f t="shared" si="1"/>
        <v>-89046175.880977347</v>
      </c>
      <c r="H15" s="54">
        <f t="shared" si="1"/>
        <v>-91775463.393441916</v>
      </c>
      <c r="I15" s="54">
        <f t="shared" si="1"/>
        <v>-94585490.750223503</v>
      </c>
      <c r="J15" s="54">
        <f t="shared" si="1"/>
        <v>-97478587.786649585</v>
      </c>
      <c r="K15" s="54">
        <f t="shared" si="1"/>
        <v>-100457150.33919148</v>
      </c>
      <c r="L15" s="54">
        <f t="shared" si="1"/>
        <v>-103523642.08877094</v>
      </c>
      <c r="M15" s="54">
        <f t="shared" si="1"/>
        <v>-106680596.45496827</v>
      </c>
    </row>
    <row r="17" spans="1:13" x14ac:dyDescent="0.25">
      <c r="B17" s="3" t="s">
        <v>42</v>
      </c>
    </row>
    <row r="18" spans="1:13" x14ac:dyDescent="0.25">
      <c r="A18" s="50" t="s">
        <v>444</v>
      </c>
      <c r="B18" s="50" t="s">
        <v>506</v>
      </c>
      <c r="C18" s="51">
        <f>SUMIF(TB!$A:$A,A18,TB!$D:$D)</f>
        <v>-4149565</v>
      </c>
      <c r="D18" s="51">
        <f>C18*(1+Assumptions!C18)</f>
        <v>-4490580.0018608728</v>
      </c>
      <c r="E18" s="51"/>
      <c r="F18" s="51"/>
      <c r="G18" s="51"/>
      <c r="H18" s="51"/>
      <c r="I18" s="51"/>
      <c r="J18" s="51"/>
      <c r="K18" s="51"/>
      <c r="L18" s="51"/>
      <c r="M18" s="51"/>
    </row>
    <row r="19" spans="1:13" x14ac:dyDescent="0.25">
      <c r="A19" s="50" t="s">
        <v>43</v>
      </c>
      <c r="B19" s="52" t="s">
        <v>44</v>
      </c>
      <c r="C19" s="53">
        <f>SUMIF('Manual Adjust'!$A:$A,$A19,'Manual Adjust'!C:C)</f>
        <v>0</v>
      </c>
      <c r="D19" s="53">
        <f>SUMIF('Manual Adjust'!$A:$A,$A19,'Manual Adjust'!D:D)</f>
        <v>0</v>
      </c>
      <c r="E19" s="53">
        <f>SUMIF('Manual Adjust'!$A:$A,$A19,'Manual Adjust'!E:E)</f>
        <v>0</v>
      </c>
      <c r="F19" s="53">
        <f>SUMIF('Manual Adjust'!$A:$A,$A19,'Manual Adjust'!F:F)</f>
        <v>0</v>
      </c>
      <c r="G19" s="53">
        <f>SUMIF('Manual Adjust'!$A:$A,$A19,'Manual Adjust'!G:G)</f>
        <v>0</v>
      </c>
      <c r="H19" s="53">
        <f>SUMIF('Manual Adjust'!$A:$A,$A19,'Manual Adjust'!H:H)</f>
        <v>0</v>
      </c>
      <c r="I19" s="53">
        <f>SUMIF('Manual Adjust'!$A:$A,$A19,'Manual Adjust'!I:I)</f>
        <v>0</v>
      </c>
      <c r="J19" s="53">
        <f>SUMIF('Manual Adjust'!$A:$A,$A19,'Manual Adjust'!J:J)</f>
        <v>0</v>
      </c>
      <c r="K19" s="53">
        <f>SUMIF('Manual Adjust'!$A:$A,$A19,'Manual Adjust'!K:K)</f>
        <v>0</v>
      </c>
      <c r="L19" s="53">
        <f>SUMIF('Manual Adjust'!$A:$A,$A19,'Manual Adjust'!L:L)</f>
        <v>0</v>
      </c>
      <c r="M19" s="53">
        <f>SUMIF('Manual Adjust'!$A:$A,$A19,'Manual Adjust'!M:M)</f>
        <v>0</v>
      </c>
    </row>
    <row r="20" spans="1:13" x14ac:dyDescent="0.25">
      <c r="B20" s="3" t="s">
        <v>507</v>
      </c>
      <c r="C20" s="54">
        <f>SUBTOTAL(9,C18:C19)</f>
        <v>-4149565</v>
      </c>
      <c r="D20" s="54">
        <f t="shared" ref="D20:M20" si="2">SUBTOTAL(9,D18:D19)</f>
        <v>-4490580.0018608728</v>
      </c>
      <c r="E20" s="54">
        <f t="shared" si="2"/>
        <v>0</v>
      </c>
      <c r="F20" s="54">
        <f t="shared" si="2"/>
        <v>0</v>
      </c>
      <c r="G20" s="54">
        <f t="shared" si="2"/>
        <v>0</v>
      </c>
      <c r="H20" s="54">
        <f t="shared" si="2"/>
        <v>0</v>
      </c>
      <c r="I20" s="54">
        <f t="shared" si="2"/>
        <v>0</v>
      </c>
      <c r="J20" s="54">
        <f t="shared" si="2"/>
        <v>0</v>
      </c>
      <c r="K20" s="54">
        <f t="shared" si="2"/>
        <v>0</v>
      </c>
      <c r="L20" s="54">
        <f t="shared" si="2"/>
        <v>0</v>
      </c>
      <c r="M20" s="54">
        <f t="shared" si="2"/>
        <v>0</v>
      </c>
    </row>
    <row r="22" spans="1:13" x14ac:dyDescent="0.25">
      <c r="B22" s="3" t="s">
        <v>45</v>
      </c>
    </row>
    <row r="23" spans="1:13" x14ac:dyDescent="0.25">
      <c r="A23" s="50" t="s">
        <v>445</v>
      </c>
      <c r="B23" s="50" t="s">
        <v>508</v>
      </c>
      <c r="C23" s="51">
        <f>SUMIF(TB!$A:$A,A23,TB!$D:$D)</f>
        <v>-31880622</v>
      </c>
      <c r="D23" s="51">
        <f>'[2]DW Strategy'!E36+'[2]DW Strategy'!E37</f>
        <v>-32752532.21905623</v>
      </c>
      <c r="E23" s="51">
        <f>'[2]DW Strategy'!F36+'[2]DW Strategy'!F37</f>
        <v>-33639549.703017011</v>
      </c>
      <c r="F23" s="51">
        <f>'[2]DW Strategy'!G36+'[2]DW Strategy'!G37</f>
        <v>-34550197.728538916</v>
      </c>
      <c r="G23" s="51">
        <f>'[2]DW Strategy'!H36+'[2]DW Strategy'!H37</f>
        <v>-35485103.436772525</v>
      </c>
      <c r="H23" s="51">
        <f>'[2]DW Strategy'!I36+'[2]DW Strategy'!I37</f>
        <v>-36444910.556837484</v>
      </c>
      <c r="I23" s="51">
        <f>'[2]DW Strategy'!J36+'[2]DW Strategy'!J37</f>
        <v>-37614817.793712623</v>
      </c>
      <c r="J23" s="51">
        <f>'[2]DW Strategy'!K36+'[2]DW Strategy'!K37</f>
        <v>-38821759.045299128</v>
      </c>
      <c r="K23" s="51">
        <f>'[2]DW Strategy'!L36+'[2]DW Strategy'!L37</f>
        <v>-40066903.435966477</v>
      </c>
      <c r="L23" s="51">
        <f>'[2]DW Strategy'!M36+'[2]DW Strategy'!M37</f>
        <v>-41148779.931656718</v>
      </c>
      <c r="M23" s="51">
        <f>'[2]DW Strategy'!N36+'[2]DW Strategy'!N37</f>
        <v>-42259458.437483996</v>
      </c>
    </row>
    <row r="24" spans="1:13" x14ac:dyDescent="0.25">
      <c r="A24" s="50" t="s">
        <v>446</v>
      </c>
      <c r="B24" s="50" t="s">
        <v>509</v>
      </c>
      <c r="C24" s="51">
        <f>SUMIF(TB!$A:$A,A24,TB!$D:$D)</f>
        <v>-1127376</v>
      </c>
      <c r="D24" s="51">
        <f>C24*(1+Assumptions!C20)</f>
        <v>-1133893.2521437518</v>
      </c>
      <c r="E24" s="51">
        <f>D24*(1+Assumptions!D20)</f>
        <v>-1140410.5042875037</v>
      </c>
      <c r="F24" s="51">
        <f>E24*(1+Assumptions!E20)</f>
        <v>-1146927.7564312555</v>
      </c>
      <c r="G24" s="51">
        <f>F24*(1+Assumptions!F20)</f>
        <v>-1153445.0085750073</v>
      </c>
      <c r="H24" s="51">
        <f>G24*(1+Assumptions!G20)</f>
        <v>-1159962.2607187591</v>
      </c>
      <c r="I24" s="51">
        <f>H24*(1+Assumptions!H20)</f>
        <v>-1166479.512862511</v>
      </c>
      <c r="J24" s="51">
        <f>I24*(1+Assumptions!I20)</f>
        <v>-1172996.7650062628</v>
      </c>
      <c r="K24" s="51">
        <f>J24*(1+Assumptions!J20)</f>
        <v>-1179514.0171500146</v>
      </c>
      <c r="L24" s="51">
        <f>K24*(1+Assumptions!K20)</f>
        <v>-1186031.2692937665</v>
      </c>
      <c r="M24" s="51">
        <f>L24*(1+Assumptions!L20)</f>
        <v>-1192548.5214375183</v>
      </c>
    </row>
    <row r="25" spans="1:13" x14ac:dyDescent="0.25">
      <c r="A25" s="50" t="s">
        <v>458</v>
      </c>
      <c r="B25" s="50" t="s">
        <v>510</v>
      </c>
      <c r="C25" s="51">
        <f>SUMIF(TB!$A:$A,A25,TB!$D:$D)</f>
        <v>-142184</v>
      </c>
      <c r="D25" s="51">
        <f>C25*(1+Assumptions!C26)</f>
        <v>-145738.59999999998</v>
      </c>
      <c r="E25" s="51">
        <f>D25*(1+Assumptions!D26)</f>
        <v>-149382.06499999997</v>
      </c>
      <c r="F25" s="51">
        <f>E25*(1+Assumptions!E26)</f>
        <v>-153116.61662499997</v>
      </c>
      <c r="G25" s="51">
        <f>F25*(1+Assumptions!F26)</f>
        <v>-156944.53204062494</v>
      </c>
      <c r="H25" s="51">
        <f>G25*(1+Assumptions!G26)</f>
        <v>-160868.14534164054</v>
      </c>
      <c r="I25" s="51">
        <f>H25*(1+Assumptions!H26)</f>
        <v>-164889.84897518155</v>
      </c>
      <c r="J25" s="51">
        <f>I25*(1+Assumptions!I26)</f>
        <v>-169012.09519956107</v>
      </c>
      <c r="K25" s="51">
        <f>J25*(1+Assumptions!J26)</f>
        <v>-173237.39757955007</v>
      </c>
      <c r="L25" s="51">
        <f>K25*(1+Assumptions!K26)</f>
        <v>-177568.33251903881</v>
      </c>
      <c r="M25" s="51">
        <f>L25*(1+Assumptions!L26)</f>
        <v>-182007.54083201475</v>
      </c>
    </row>
    <row r="26" spans="1:13" x14ac:dyDescent="0.25">
      <c r="A26" s="50" t="s">
        <v>46</v>
      </c>
      <c r="B26" s="52" t="s">
        <v>47</v>
      </c>
      <c r="C26" s="53">
        <f>SUMIF('Manual Adjust'!$A:$A,$A26,'Manual Adjust'!C:C)</f>
        <v>0</v>
      </c>
      <c r="D26" s="53">
        <f>SUMIF('Manual Adjust'!$A:$A,$A26,'Manual Adjust'!D:D)</f>
        <v>0</v>
      </c>
      <c r="E26" s="53">
        <f>SUMIF('Manual Adjust'!$A:$A,$A26,'Manual Adjust'!E:E)</f>
        <v>0</v>
      </c>
      <c r="F26" s="53">
        <f>SUMIF('Manual Adjust'!$A:$A,$A26,'Manual Adjust'!F:F)</f>
        <v>0</v>
      </c>
      <c r="G26" s="53">
        <f>SUMIF('Manual Adjust'!$A:$A,$A26,'Manual Adjust'!G:G)</f>
        <v>0</v>
      </c>
      <c r="H26" s="53">
        <f>SUMIF('Manual Adjust'!$A:$A,$A26,'Manual Adjust'!H:H)</f>
        <v>0</v>
      </c>
      <c r="I26" s="53">
        <f>SUMIF('Manual Adjust'!$A:$A,$A26,'Manual Adjust'!I:I)</f>
        <v>0</v>
      </c>
      <c r="J26" s="53">
        <f>SUMIF('Manual Adjust'!$A:$A,$A26,'Manual Adjust'!J:J)</f>
        <v>0</v>
      </c>
      <c r="K26" s="53">
        <f>SUMIF('Manual Adjust'!$A:$A,$A26,'Manual Adjust'!K:K)</f>
        <v>0</v>
      </c>
      <c r="L26" s="53">
        <f>SUMIF('Manual Adjust'!$A:$A,$A26,'Manual Adjust'!L:L)</f>
        <v>0</v>
      </c>
      <c r="M26" s="53">
        <f>SUMIF('Manual Adjust'!$A:$A,$A26,'Manual Adjust'!M:M)</f>
        <v>0</v>
      </c>
    </row>
    <row r="27" spans="1:13" x14ac:dyDescent="0.25">
      <c r="B27" s="3" t="s">
        <v>511</v>
      </c>
      <c r="C27" s="54">
        <f t="shared" ref="C27:M27" si="3">SUBTOTAL(9,C23:C26)</f>
        <v>-33150182</v>
      </c>
      <c r="D27" s="54">
        <f t="shared" si="3"/>
        <v>-34032164.071199983</v>
      </c>
      <c r="E27" s="54">
        <f t="shared" si="3"/>
        <v>-34929342.272304513</v>
      </c>
      <c r="F27" s="54">
        <f t="shared" si="3"/>
        <v>-35850242.101595171</v>
      </c>
      <c r="G27" s="54">
        <f t="shared" si="3"/>
        <v>-36795492.977388158</v>
      </c>
      <c r="H27" s="54">
        <f t="shared" si="3"/>
        <v>-37765740.962897889</v>
      </c>
      <c r="I27" s="54">
        <f t="shared" si="3"/>
        <v>-38946187.155550316</v>
      </c>
      <c r="J27" s="54">
        <f t="shared" si="3"/>
        <v>-40163767.905504949</v>
      </c>
      <c r="K27" s="54">
        <f t="shared" si="3"/>
        <v>-41419654.850696042</v>
      </c>
      <c r="L27" s="54">
        <f t="shared" si="3"/>
        <v>-42512379.533469528</v>
      </c>
      <c r="M27" s="54">
        <f t="shared" si="3"/>
        <v>-43634014.499753527</v>
      </c>
    </row>
    <row r="29" spans="1:13" ht="15.75" thickBot="1" x14ac:dyDescent="0.3">
      <c r="B29" s="55" t="s">
        <v>512</v>
      </c>
      <c r="C29" s="56">
        <f t="shared" ref="C29:M29" si="4">SUBTOTAL(9,C12:C27)</f>
        <v>-108227480</v>
      </c>
      <c r="D29" s="56">
        <f t="shared" si="4"/>
        <v>-115279382.27179433</v>
      </c>
      <c r="E29" s="56">
        <f t="shared" si="4"/>
        <v>-116364119.26208761</v>
      </c>
      <c r="F29" s="56">
        <f t="shared" si="4"/>
        <v>-122245604.68648025</v>
      </c>
      <c r="G29" s="56">
        <f t="shared" si="4"/>
        <v>-125841668.85836551</v>
      </c>
      <c r="H29" s="56">
        <f t="shared" si="4"/>
        <v>-129541204.3563398</v>
      </c>
      <c r="I29" s="56">
        <f t="shared" si="4"/>
        <v>-133531677.90577382</v>
      </c>
      <c r="J29" s="56">
        <f t="shared" si="4"/>
        <v>-137642355.69215453</v>
      </c>
      <c r="K29" s="56">
        <f t="shared" si="4"/>
        <v>-141876805.18988752</v>
      </c>
      <c r="L29" s="56">
        <f t="shared" si="4"/>
        <v>-146036021.62224042</v>
      </c>
      <c r="M29" s="56">
        <f t="shared" si="4"/>
        <v>-150314610.95472181</v>
      </c>
    </row>
    <row r="30" spans="1:13" ht="15.75" thickTop="1" x14ac:dyDescent="0.25"/>
    <row r="31" spans="1:13" x14ac:dyDescent="0.25">
      <c r="C31" s="191"/>
      <c r="D31" s="191"/>
      <c r="E31" s="191"/>
    </row>
    <row r="32" spans="1:13" x14ac:dyDescent="0.25">
      <c r="B32" s="49" t="s">
        <v>513</v>
      </c>
    </row>
    <row r="34" spans="1:13" x14ac:dyDescent="0.25">
      <c r="A34" s="6"/>
      <c r="B34" s="3" t="s">
        <v>48</v>
      </c>
    </row>
    <row r="35" spans="1:13" x14ac:dyDescent="0.25">
      <c r="A35" s="50" t="s">
        <v>447</v>
      </c>
      <c r="B35" s="50" t="s">
        <v>514</v>
      </c>
      <c r="C35" s="51">
        <f>SUMIF(TB!$A:$A,A35,TB!$D:$D)</f>
        <v>-1220000</v>
      </c>
      <c r="D35" s="51">
        <f>C35*(1+Assumptions!C22)</f>
        <v>-1250500</v>
      </c>
      <c r="E35" s="51">
        <f>D35*(1+Assumptions!D22)</f>
        <v>-1281762.5</v>
      </c>
      <c r="F35" s="51">
        <f>E35*(1+Assumptions!E22)</f>
        <v>-1313806.5625</v>
      </c>
      <c r="G35" s="51">
        <f>F35*(1+Assumptions!F22)</f>
        <v>-1346651.7265624998</v>
      </c>
      <c r="H35" s="51">
        <f>G35*(1+Assumptions!G22)</f>
        <v>-1380318.0197265621</v>
      </c>
      <c r="I35" s="51">
        <f>H35*(1+Assumptions!H22)</f>
        <v>-1421727.5603183589</v>
      </c>
      <c r="J35" s="51">
        <f>I35*(1+Assumptions!I22)</f>
        <v>-1464379.3871279098</v>
      </c>
      <c r="K35" s="51">
        <f>J35*(1+Assumptions!J22)</f>
        <v>-1508310.7687417471</v>
      </c>
      <c r="L35" s="51">
        <f>K35*(1+Assumptions!K22)</f>
        <v>-1546018.5379602907</v>
      </c>
      <c r="M35" s="51">
        <f>L35*(1+Assumptions!L22)</f>
        <v>-1584669.0014092978</v>
      </c>
    </row>
    <row r="36" spans="1:13" x14ac:dyDescent="0.25">
      <c r="A36" s="50" t="s">
        <v>49</v>
      </c>
      <c r="B36" s="52" t="s">
        <v>50</v>
      </c>
      <c r="C36" s="53">
        <f>SUMIF('Manual Adjust'!$A:$A,$A36,'Manual Adjust'!C:C)</f>
        <v>0</v>
      </c>
      <c r="D36" s="53">
        <f>SUMIF('Manual Adjust'!$A:$A,$A36,'Manual Adjust'!D:D)</f>
        <v>0</v>
      </c>
      <c r="E36" s="53">
        <f>SUMIF('Manual Adjust'!$A:$A,$A36,'Manual Adjust'!E:E)</f>
        <v>0</v>
      </c>
      <c r="F36" s="53">
        <f>SUMIF('Manual Adjust'!$A:$A,$A36,'Manual Adjust'!F:F)</f>
        <v>0</v>
      </c>
      <c r="G36" s="53">
        <f>SUMIF('Manual Adjust'!$A:$A,$A36,'Manual Adjust'!G:G)</f>
        <v>0</v>
      </c>
      <c r="H36" s="53">
        <f>SUMIF('Manual Adjust'!$A:$A,$A36,'Manual Adjust'!H:H)</f>
        <v>0</v>
      </c>
      <c r="I36" s="53">
        <f>SUMIF('Manual Adjust'!$A:$A,$A36,'Manual Adjust'!I:I)</f>
        <v>0</v>
      </c>
      <c r="J36" s="53">
        <f>SUMIF('Manual Adjust'!$A:$A,$A36,'Manual Adjust'!J:J)</f>
        <v>0</v>
      </c>
      <c r="K36" s="53">
        <f>SUMIF('Manual Adjust'!$A:$A,$A36,'Manual Adjust'!K:K)</f>
        <v>0</v>
      </c>
      <c r="L36" s="53">
        <f>SUMIF('Manual Adjust'!$A:$A,$A36,'Manual Adjust'!L:L)</f>
        <v>0</v>
      </c>
      <c r="M36" s="53">
        <f>SUMIF('Manual Adjust'!$A:$A,$A36,'Manual Adjust'!M:M)</f>
        <v>0</v>
      </c>
    </row>
    <row r="37" spans="1:13" x14ac:dyDescent="0.25">
      <c r="A37" s="6"/>
      <c r="B37" s="3" t="s">
        <v>515</v>
      </c>
      <c r="C37" s="58">
        <f>SUBTOTAL(9,C35:C36)</f>
        <v>-1220000</v>
      </c>
      <c r="D37" s="58">
        <f t="shared" ref="D37:M37" si="5">SUBTOTAL(9,D35:D36)</f>
        <v>-1250500</v>
      </c>
      <c r="E37" s="58">
        <f t="shared" si="5"/>
        <v>-1281762.5</v>
      </c>
      <c r="F37" s="58">
        <f t="shared" si="5"/>
        <v>-1313806.5625</v>
      </c>
      <c r="G37" s="58">
        <f t="shared" si="5"/>
        <v>-1346651.7265624998</v>
      </c>
      <c r="H37" s="58">
        <f t="shared" si="5"/>
        <v>-1380318.0197265621</v>
      </c>
      <c r="I37" s="58">
        <f t="shared" si="5"/>
        <v>-1421727.5603183589</v>
      </c>
      <c r="J37" s="58">
        <f t="shared" si="5"/>
        <v>-1464379.3871279098</v>
      </c>
      <c r="K37" s="58">
        <f t="shared" si="5"/>
        <v>-1508310.7687417471</v>
      </c>
      <c r="L37" s="58">
        <f t="shared" si="5"/>
        <v>-1546018.5379602907</v>
      </c>
      <c r="M37" s="58">
        <f t="shared" si="5"/>
        <v>-1584669.0014092978</v>
      </c>
    </row>
    <row r="39" spans="1:13" x14ac:dyDescent="0.25">
      <c r="A39" s="6"/>
      <c r="B39" s="3" t="s">
        <v>51</v>
      </c>
    </row>
    <row r="40" spans="1:13" x14ac:dyDescent="0.25">
      <c r="A40" s="6" t="s">
        <v>457</v>
      </c>
      <c r="B40" s="6" t="s">
        <v>518</v>
      </c>
      <c r="C40" s="51">
        <f>SUMIF(TB!$A:$A,A40,TB!$D:$D)</f>
        <v>-2335000</v>
      </c>
      <c r="D40" s="51">
        <f>C40*(1+Assumptions!C26)</f>
        <v>-2393375</v>
      </c>
      <c r="E40" s="51">
        <f>D40*(1+Assumptions!D26)</f>
        <v>-2453209.375</v>
      </c>
      <c r="F40" s="51">
        <f>E40*(1+Assumptions!E26)</f>
        <v>-2514539.609375</v>
      </c>
      <c r="G40" s="51">
        <f>F40*(1+Assumptions!F26)</f>
        <v>-2577403.099609375</v>
      </c>
      <c r="H40" s="51">
        <f>G40*(1+Assumptions!G26)</f>
        <v>-2641838.1770996093</v>
      </c>
      <c r="I40" s="51">
        <f>H40*(1+Assumptions!H26)</f>
        <v>-2707884.1315270993</v>
      </c>
      <c r="J40" s="51">
        <f>I40*(1+Assumptions!I26)</f>
        <v>-2775581.2348152767</v>
      </c>
      <c r="K40" s="51">
        <f>J40*(1+Assumptions!J26)</f>
        <v>-2844970.7656856584</v>
      </c>
      <c r="L40" s="51">
        <f>K40*(1+Assumptions!K26)</f>
        <v>-2916095.0348277995</v>
      </c>
      <c r="M40" s="51">
        <f>L40*(1+Assumptions!L26)</f>
        <v>-2988997.4106984944</v>
      </c>
    </row>
    <row r="41" spans="1:13" x14ac:dyDescent="0.25">
      <c r="A41" s="6" t="s">
        <v>519</v>
      </c>
      <c r="B41" s="6" t="s">
        <v>520</v>
      </c>
      <c r="C41" s="51">
        <f>SUMIF(TB!$A:$A,A41,TB!$D:$D)</f>
        <v>0</v>
      </c>
      <c r="D41" s="51">
        <f>C41*(1+Assumptions!C26)</f>
        <v>0</v>
      </c>
      <c r="E41" s="51">
        <f>D41*(1+Assumptions!D26)</f>
        <v>0</v>
      </c>
      <c r="F41" s="51">
        <f>E41*(1+Assumptions!E26)</f>
        <v>0</v>
      </c>
      <c r="G41" s="51">
        <f>F41*(1+Assumptions!F26)</f>
        <v>0</v>
      </c>
      <c r="H41" s="51">
        <f>G41*(1+Assumptions!G26)</f>
        <v>0</v>
      </c>
      <c r="I41" s="51">
        <f>H41*(1+Assumptions!H26)</f>
        <v>0</v>
      </c>
      <c r="J41" s="51">
        <f>I41*(1+Assumptions!I26)</f>
        <v>0</v>
      </c>
      <c r="K41" s="51">
        <f>J41*(1+Assumptions!J26)</f>
        <v>0</v>
      </c>
      <c r="L41" s="51">
        <f>K41*(1+Assumptions!K26)</f>
        <v>0</v>
      </c>
      <c r="M41" s="51">
        <f>L41*(1+Assumptions!L26)</f>
        <v>0</v>
      </c>
    </row>
    <row r="42" spans="1:13" x14ac:dyDescent="0.25">
      <c r="A42" s="6" t="s">
        <v>456</v>
      </c>
      <c r="B42" s="6" t="s">
        <v>521</v>
      </c>
      <c r="C42" s="51">
        <f>SUMIF(TB!$A:$A,A42,TB!$D:$D)</f>
        <v>-1337000</v>
      </c>
      <c r="D42" s="51">
        <f>C42*(1+Assumptions!C26)</f>
        <v>-1370424.9999999998</v>
      </c>
      <c r="E42" s="51">
        <f>D42*(1+Assumptions!D26)</f>
        <v>-1404685.6249999995</v>
      </c>
      <c r="F42" s="51">
        <f>E42*(1+Assumptions!E26)</f>
        <v>-1439802.7656249993</v>
      </c>
      <c r="G42" s="51">
        <f>F42*(1+Assumptions!F26)</f>
        <v>-1475797.8347656243</v>
      </c>
      <c r="H42" s="51">
        <f>G42*(1+Assumptions!G26)</f>
        <v>-1512692.7806347648</v>
      </c>
      <c r="I42" s="51">
        <f>H42*(1+Assumptions!H26)</f>
        <v>-1550510.1001506338</v>
      </c>
      <c r="J42" s="51">
        <f>I42*(1+Assumptions!I26)</f>
        <v>-1589272.8526543996</v>
      </c>
      <c r="K42" s="51">
        <f>J42*(1+Assumptions!J26)</f>
        <v>-1629004.6739707594</v>
      </c>
      <c r="L42" s="51">
        <f>K42*(1+Assumptions!K26)</f>
        <v>-1669729.7908200282</v>
      </c>
      <c r="M42" s="51">
        <f>L42*(1+Assumptions!L26)</f>
        <v>-1711473.0355905287</v>
      </c>
    </row>
    <row r="43" spans="1:13" x14ac:dyDescent="0.25">
      <c r="A43" s="6" t="s">
        <v>464</v>
      </c>
      <c r="B43" s="6" t="s">
        <v>516</v>
      </c>
      <c r="C43" s="51">
        <f>SUMIF(TB!$A:$A,A43,TB!$D:$D)</f>
        <v>-100000</v>
      </c>
      <c r="D43" s="51">
        <f>C43*(1+Assumptions!C26)</f>
        <v>-102499.99999999999</v>
      </c>
      <c r="E43" s="51">
        <f>D43*(1+Assumptions!D26)</f>
        <v>-105062.49999999997</v>
      </c>
      <c r="F43" s="51">
        <f>E43*(1+Assumptions!E26)</f>
        <v>-107689.06249999996</v>
      </c>
      <c r="G43" s="51">
        <f>F43*(1+Assumptions!F26)</f>
        <v>-110381.28906249994</v>
      </c>
      <c r="H43" s="51">
        <f>G43*(1+Assumptions!G26)</f>
        <v>-113140.82128906243</v>
      </c>
      <c r="I43" s="51">
        <f>H43*(1+Assumptions!H26)</f>
        <v>-115969.34182128898</v>
      </c>
      <c r="J43" s="51">
        <f>I43*(1+Assumptions!I26)</f>
        <v>-118868.5753668212</v>
      </c>
      <c r="K43" s="51">
        <f>J43*(1+Assumptions!J26)</f>
        <v>-121840.28975099172</v>
      </c>
      <c r="L43" s="51">
        <f>K43*(1+Assumptions!K26)</f>
        <v>-124886.29699476651</v>
      </c>
      <c r="M43" s="51">
        <f>L43*(1+Assumptions!L26)</f>
        <v>-128008.45441963566</v>
      </c>
    </row>
    <row r="44" spans="1:13" x14ac:dyDescent="0.25">
      <c r="A44" s="6" t="s">
        <v>460</v>
      </c>
      <c r="B44" s="6" t="s">
        <v>517</v>
      </c>
      <c r="C44" s="51">
        <f>SUMIF(TB!$A:$A,A44,TB!$D:$D)</f>
        <v>-350000</v>
      </c>
      <c r="D44" s="51">
        <f>C44*(1+Assumptions!C26)</f>
        <v>-358749.99999999994</v>
      </c>
      <c r="E44" s="51">
        <f>D44*(1+Assumptions!D26)</f>
        <v>-367718.74999999988</v>
      </c>
      <c r="F44" s="51">
        <f>E44*(1+Assumptions!E26)</f>
        <v>-376911.71874999983</v>
      </c>
      <c r="G44" s="51">
        <f>F44*(1+Assumptions!F26)</f>
        <v>-386334.51171874977</v>
      </c>
      <c r="H44" s="51">
        <f>G44*(1+Assumptions!G26)</f>
        <v>-395992.87451171846</v>
      </c>
      <c r="I44" s="51">
        <f>H44*(1+Assumptions!H26)</f>
        <v>-405892.6963745114</v>
      </c>
      <c r="J44" s="51">
        <f>I44*(1+Assumptions!I26)</f>
        <v>-416040.01378387416</v>
      </c>
      <c r="K44" s="51">
        <f>J44*(1+Assumptions!J26)</f>
        <v>-426441.01412847097</v>
      </c>
      <c r="L44" s="51">
        <f>K44*(1+Assumptions!K26)</f>
        <v>-437102.0394816827</v>
      </c>
      <c r="M44" s="51">
        <f>L44*(1+Assumptions!L26)</f>
        <v>-448029.59046872472</v>
      </c>
    </row>
    <row r="45" spans="1:13" x14ac:dyDescent="0.25">
      <c r="A45" s="6" t="s">
        <v>466</v>
      </c>
      <c r="B45" s="6" t="s">
        <v>522</v>
      </c>
      <c r="C45" s="51">
        <f>SUMIF(TB!$A:$A,A45,TB!$D:$D)</f>
        <v>-39500</v>
      </c>
      <c r="D45" s="51">
        <f>C45*(1+Assumptions!C26)</f>
        <v>-40487.5</v>
      </c>
      <c r="E45" s="51">
        <f>D45*(1+Assumptions!D26)</f>
        <v>-41499.6875</v>
      </c>
      <c r="F45" s="51">
        <f>E45*(1+Assumptions!E26)</f>
        <v>-42537.179687499993</v>
      </c>
      <c r="G45" s="51">
        <f>F45*(1+Assumptions!F26)</f>
        <v>-43600.60917968749</v>
      </c>
      <c r="H45" s="51">
        <f>G45*(1+Assumptions!G26)</f>
        <v>-44690.624409179676</v>
      </c>
      <c r="I45" s="51">
        <f>H45*(1+Assumptions!H26)</f>
        <v>-45807.890019409162</v>
      </c>
      <c r="J45" s="51">
        <f>I45*(1+Assumptions!I26)</f>
        <v>-46953.087269894386</v>
      </c>
      <c r="K45" s="51">
        <f>J45*(1+Assumptions!J26)</f>
        <v>-48126.914451641744</v>
      </c>
      <c r="L45" s="51">
        <f>K45*(1+Assumptions!K26)</f>
        <v>-49330.087312932781</v>
      </c>
      <c r="M45" s="51">
        <f>L45*(1+Assumptions!L26)</f>
        <v>-50563.339495756096</v>
      </c>
    </row>
    <row r="46" spans="1:13" x14ac:dyDescent="0.25">
      <c r="A46" s="6" t="s">
        <v>52</v>
      </c>
      <c r="B46" s="59" t="s">
        <v>53</v>
      </c>
      <c r="C46" s="53">
        <f>SUMIF('Manual Adjust'!$A:$A,$A46,'Manual Adjust'!C:C)</f>
        <v>0</v>
      </c>
      <c r="D46" s="53">
        <f>SUMIF('Manual Adjust'!$A:$A,$A46,'Manual Adjust'!D:D)</f>
        <v>0</v>
      </c>
      <c r="E46" s="53">
        <f>SUMIF('Manual Adjust'!$A:$A,$A46,'Manual Adjust'!E:E)</f>
        <v>0</v>
      </c>
      <c r="F46" s="53">
        <f>SUMIF('Manual Adjust'!$A:$A,$A46,'Manual Adjust'!F:F)</f>
        <v>0</v>
      </c>
      <c r="G46" s="53">
        <f>SUMIF('Manual Adjust'!$A:$A,$A46,'Manual Adjust'!G:G)</f>
        <v>0</v>
      </c>
      <c r="H46" s="53">
        <f>SUMIF('Manual Adjust'!$A:$A,$A46,'Manual Adjust'!H:H)</f>
        <v>0</v>
      </c>
      <c r="I46" s="53">
        <f>SUMIF('Manual Adjust'!$A:$A,$A46,'Manual Adjust'!I:I)</f>
        <v>0</v>
      </c>
      <c r="J46" s="53">
        <f>SUMIF('Manual Adjust'!$A:$A,$A46,'Manual Adjust'!J:J)</f>
        <v>0</v>
      </c>
      <c r="K46" s="53">
        <f>SUMIF('Manual Adjust'!$A:$A,$A46,'Manual Adjust'!K:K)</f>
        <v>0</v>
      </c>
      <c r="L46" s="53">
        <f>SUMIF('Manual Adjust'!$A:$A,$A46,'Manual Adjust'!L:L)</f>
        <v>0</v>
      </c>
      <c r="M46" s="53">
        <f>SUMIF('Manual Adjust'!$A:$A,$A46,'Manual Adjust'!M:M)</f>
        <v>0</v>
      </c>
    </row>
    <row r="47" spans="1:13" x14ac:dyDescent="0.25">
      <c r="A47" s="6"/>
      <c r="B47" s="3" t="s">
        <v>523</v>
      </c>
      <c r="C47" s="60">
        <f>SUBTOTAL(9,C40:C46)</f>
        <v>-4161500</v>
      </c>
      <c r="D47" s="60">
        <f t="shared" ref="D47:M47" si="6">SUBTOTAL(9,D40:D46)</f>
        <v>-4265537.5</v>
      </c>
      <c r="E47" s="60">
        <f t="shared" si="6"/>
        <v>-4372175.9374999991</v>
      </c>
      <c r="F47" s="60">
        <f t="shared" si="6"/>
        <v>-4481480.3359374991</v>
      </c>
      <c r="G47" s="60">
        <f t="shared" si="6"/>
        <v>-4593517.3443359369</v>
      </c>
      <c r="H47" s="60">
        <f t="shared" si="6"/>
        <v>-4708355.2779443357</v>
      </c>
      <c r="I47" s="60">
        <f t="shared" si="6"/>
        <v>-4826064.1598929428</v>
      </c>
      <c r="J47" s="60">
        <f t="shared" si="6"/>
        <v>-4946715.7638902664</v>
      </c>
      <c r="K47" s="60">
        <f t="shared" si="6"/>
        <v>-5070383.657987522</v>
      </c>
      <c r="L47" s="60">
        <f t="shared" si="6"/>
        <v>-5197143.2494372092</v>
      </c>
      <c r="M47" s="60">
        <f t="shared" si="6"/>
        <v>-5327071.8306731395</v>
      </c>
    </row>
    <row r="49" spans="1:13" x14ac:dyDescent="0.25">
      <c r="A49" s="6"/>
      <c r="B49" s="3" t="s">
        <v>54</v>
      </c>
    </row>
    <row r="50" spans="1:13" x14ac:dyDescent="0.25">
      <c r="A50" s="6" t="s">
        <v>467</v>
      </c>
      <c r="B50" s="6" t="s">
        <v>525</v>
      </c>
      <c r="C50" s="51">
        <f>SUMIF(TB!$A:$A,A50,TB!$D:$D)</f>
        <v>-335748</v>
      </c>
      <c r="D50" s="51">
        <f>C50*(1+Assumptions!C$24)</f>
        <v>-348087.31059567921</v>
      </c>
      <c r="E50" s="51">
        <f>D50*(1+Assumptions!D$24)</f>
        <v>-360880.11186286394</v>
      </c>
      <c r="F50" s="51">
        <f>E50*(1+Assumptions!E$24)</f>
        <v>-374143.07035577926</v>
      </c>
      <c r="G50" s="51">
        <f>F50*(1+Assumptions!F$24)</f>
        <v>-387893.46515289199</v>
      </c>
      <c r="H50" s="51">
        <f>G50*(1+Assumptions!G$24)</f>
        <v>-402149.21036821953</v>
      </c>
      <c r="I50" s="51">
        <f>H50*(1+Assumptions!H$24)</f>
        <v>-416928.87848996738</v>
      </c>
      <c r="J50" s="51">
        <f>I50*(1+Assumptions!I$24)</f>
        <v>-432251.7245769013</v>
      </c>
      <c r="K50" s="51">
        <f>J50*(1+Assumptions!J$24)</f>
        <v>-448137.71134397766</v>
      </c>
      <c r="L50" s="51">
        <f>K50*(1+Assumptions!K$24)</f>
        <v>-464607.53516991308</v>
      </c>
      <c r="M50" s="51">
        <f>L50*(1+Assumptions!L$24)</f>
        <v>-481682.65306057659</v>
      </c>
    </row>
    <row r="51" spans="1:13" x14ac:dyDescent="0.25">
      <c r="A51" s="6" t="s">
        <v>454</v>
      </c>
      <c r="B51" s="6" t="s">
        <v>541</v>
      </c>
      <c r="C51" s="51">
        <f>SUMIF(TB!$A:$A,A51,TB!$D:$D)</f>
        <v>-40000</v>
      </c>
      <c r="D51" s="51">
        <f>C51*(1+Assumptions!C$24)</f>
        <v>-41470.068098178301</v>
      </c>
      <c r="E51" s="51">
        <f>D51*(1+Assumptions!D$24)</f>
        <v>-42994.163701688638</v>
      </c>
      <c r="F51" s="51">
        <f>E51*(1+Assumptions!E$24)</f>
        <v>-44574.272413331331</v>
      </c>
      <c r="G51" s="51">
        <f>F51*(1+Assumptions!F$24)</f>
        <v>-46212.452810190014</v>
      </c>
      <c r="H51" s="51">
        <f>G51*(1+Assumptions!G$24)</f>
        <v>-47910.839125560771</v>
      </c>
      <c r="I51" s="51">
        <f>H51*(1+Assumptions!H$24)</f>
        <v>-49671.644029446761</v>
      </c>
      <c r="J51" s="51">
        <f>I51*(1+Assumptions!I$24)</f>
        <v>-51497.161511240716</v>
      </c>
      <c r="K51" s="51">
        <f>J51*(1+Assumptions!J$24)</f>
        <v>-53389.769868350973</v>
      </c>
      <c r="L51" s="51">
        <f>K51*(1+Assumptions!K$24)</f>
        <v>-55351.934804664568</v>
      </c>
      <c r="M51" s="51">
        <f>L51*(1+Assumptions!L$24)</f>
        <v>-57386.212642884129</v>
      </c>
    </row>
    <row r="52" spans="1:13" x14ac:dyDescent="0.25">
      <c r="A52" s="6" t="s">
        <v>455</v>
      </c>
      <c r="B52" s="6" t="s">
        <v>526</v>
      </c>
      <c r="C52" s="51">
        <f>SUMIF(TB!$A:$A,A52,TB!$D:$D)</f>
        <v>-583380</v>
      </c>
      <c r="D52" s="51">
        <f>C52*(1+Assumptions!C$24)</f>
        <v>-604820.20817788143</v>
      </c>
      <c r="E52" s="51">
        <f>D52*(1+Assumptions!D$24)</f>
        <v>-627048.38050727791</v>
      </c>
      <c r="F52" s="51">
        <f>E52*(1+Assumptions!E$24)</f>
        <v>-650093.47601223085</v>
      </c>
      <c r="G52" s="51">
        <f>F52*(1+Assumptions!F$24)</f>
        <v>-673985.5180102163</v>
      </c>
      <c r="H52" s="51">
        <f>G52*(1+Assumptions!G$24)</f>
        <v>-698755.63322674111</v>
      </c>
      <c r="I52" s="51">
        <f>H52*(1+Assumptions!H$24)</f>
        <v>-724436.09234746627</v>
      </c>
      <c r="J52" s="51">
        <f>I52*(1+Assumptions!I$24)</f>
        <v>-751060.35206069017</v>
      </c>
      <c r="K52" s="51">
        <f>J52*(1+Assumptions!J$24)</f>
        <v>-778663.09864496475</v>
      </c>
      <c r="L52" s="51">
        <f>K52*(1+Assumptions!K$24)</f>
        <v>-807280.29315863037</v>
      </c>
      <c r="M52" s="51">
        <f>L52*(1+Assumptions!L$24)</f>
        <v>-836949.21829014353</v>
      </c>
    </row>
    <row r="53" spans="1:13" x14ac:dyDescent="0.25">
      <c r="A53" s="6" t="s">
        <v>450</v>
      </c>
      <c r="B53" s="6" t="s">
        <v>527</v>
      </c>
      <c r="C53" s="51">
        <f>SUMIF(TB!$A:$A,A53,TB!$D:$D)</f>
        <v>-1268435</v>
      </c>
      <c r="D53" s="51">
        <f>C53*(1+Assumptions!C$24)</f>
        <v>-1315052.1457028198</v>
      </c>
      <c r="E53" s="51">
        <f>D53*(1+Assumptions!D$24)</f>
        <v>-1363382.5508737857</v>
      </c>
      <c r="F53" s="51">
        <f>E53*(1+Assumptions!E$24)</f>
        <v>-1413489.1807150983</v>
      </c>
      <c r="G53" s="51">
        <f>F53*(1+Assumptions!F$24)</f>
        <v>-1465437.3145073345</v>
      </c>
      <c r="H53" s="51">
        <f>G53*(1+Assumptions!G$24)</f>
        <v>-1519294.6306557672</v>
      </c>
      <c r="I53" s="51">
        <f>H53*(1+Assumptions!H$24)</f>
        <v>-1575131.2948622827</v>
      </c>
      <c r="J53" s="51">
        <f>I53*(1+Assumptions!I$24)</f>
        <v>-1633020.0515377657</v>
      </c>
      <c r="K53" s="51">
        <f>J53*(1+Assumptions!J$24)</f>
        <v>-1693036.3185740444</v>
      </c>
      <c r="L53" s="51">
        <f>K53*(1+Assumptions!K$24)</f>
        <v>-1755258.2855988678</v>
      </c>
      <c r="M53" s="51">
        <f>L53*(1+Assumptions!L$24)</f>
        <v>-1819767.0158419185</v>
      </c>
    </row>
    <row r="54" spans="1:13" x14ac:dyDescent="0.25">
      <c r="A54" s="6" t="s">
        <v>463</v>
      </c>
      <c r="B54" s="6" t="s">
        <v>528</v>
      </c>
      <c r="C54" s="51">
        <f>SUMIF(TB!$A:$A,A54,TB!$D:$D)</f>
        <v>-112136</v>
      </c>
      <c r="D54" s="51">
        <f>C54*(1+Assumptions!C$24)</f>
        <v>-116257.18890643305</v>
      </c>
      <c r="E54" s="51">
        <f>D54*(1+Assumptions!D$24)</f>
        <v>-120529.83852131393</v>
      </c>
      <c r="F54" s="51">
        <f>E54*(1+Assumptions!E$24)</f>
        <v>-124959.51528353307</v>
      </c>
      <c r="G54" s="51">
        <f>F54*(1+Assumptions!F$24)</f>
        <v>-129551.9902080867</v>
      </c>
      <c r="H54" s="51">
        <f>G54*(1+Assumptions!G$24)</f>
        <v>-134313.2464045971</v>
      </c>
      <c r="I54" s="51">
        <f>H54*(1+Assumptions!H$24)</f>
        <v>-139249.48687215109</v>
      </c>
      <c r="J54" s="51">
        <f>I54*(1+Assumptions!I$24)</f>
        <v>-144367.14258061227</v>
      </c>
      <c r="K54" s="51">
        <f>J54*(1+Assumptions!J$24)</f>
        <v>-149672.88084893516</v>
      </c>
      <c r="L54" s="51">
        <f>K54*(1+Assumptions!K$24)</f>
        <v>-155173.61403139669</v>
      </c>
      <c r="M54" s="51">
        <f>L54*(1+Assumptions!L$24)</f>
        <v>-160876.50852306141</v>
      </c>
    </row>
    <row r="55" spans="1:13" x14ac:dyDescent="0.25">
      <c r="A55" s="6" t="s">
        <v>465</v>
      </c>
      <c r="B55" s="6" t="s">
        <v>529</v>
      </c>
      <c r="C55" s="51">
        <f>SUMIF(TB!$A:$A,A55,TB!$D:$D)</f>
        <v>-150000</v>
      </c>
      <c r="D55" s="51">
        <f>C55*(1+Assumptions!C$24)</f>
        <v>-155512.75536816861</v>
      </c>
      <c r="E55" s="51">
        <f>D55*(1+Assumptions!D$24)</f>
        <v>-161228.11388133236</v>
      </c>
      <c r="F55" s="51">
        <f>E55*(1+Assumptions!E$24)</f>
        <v>-167153.52154999247</v>
      </c>
      <c r="G55" s="51">
        <f>F55*(1+Assumptions!F$24)</f>
        <v>-173296.69803821255</v>
      </c>
      <c r="H55" s="51">
        <f>G55*(1+Assumptions!G$24)</f>
        <v>-179665.64672085291</v>
      </c>
      <c r="I55" s="51">
        <f>H55*(1+Assumptions!H$24)</f>
        <v>-186268.66511042535</v>
      </c>
      <c r="J55" s="51">
        <f>I55*(1+Assumptions!I$24)</f>
        <v>-193114.3556671527</v>
      </c>
      <c r="K55" s="51">
        <f>J55*(1+Assumptions!J$24)</f>
        <v>-200211.63700631616</v>
      </c>
      <c r="L55" s="51">
        <f>K55*(1+Assumptions!K$24)</f>
        <v>-207569.75551749213</v>
      </c>
      <c r="M55" s="51">
        <f>L55*(1+Assumptions!L$24)</f>
        <v>-215198.29741081549</v>
      </c>
    </row>
    <row r="56" spans="1:13" x14ac:dyDescent="0.25">
      <c r="A56" s="6" t="s">
        <v>453</v>
      </c>
      <c r="B56" s="6" t="s">
        <v>530</v>
      </c>
      <c r="C56" s="51">
        <f>SUMIF(TB!$A:$A,A56,TB!$D:$D)</f>
        <v>-50000</v>
      </c>
      <c r="D56" s="51">
        <f>C56*(1+Assumptions!C$24)</f>
        <v>-51837.58512272287</v>
      </c>
      <c r="E56" s="51">
        <f>D56*(1+Assumptions!D$24)</f>
        <v>-53742.70462711079</v>
      </c>
      <c r="F56" s="51">
        <f>E56*(1+Assumptions!E$24)</f>
        <v>-55717.840516664161</v>
      </c>
      <c r="G56" s="51">
        <f>F56*(1+Assumptions!F$24)</f>
        <v>-57765.566012737516</v>
      </c>
      <c r="H56" s="51">
        <f>G56*(1+Assumptions!G$24)</f>
        <v>-59888.548906950964</v>
      </c>
      <c r="I56" s="51">
        <f>H56*(1+Assumptions!H$24)</f>
        <v>-62089.555036808451</v>
      </c>
      <c r="J56" s="51">
        <f>I56*(1+Assumptions!I$24)</f>
        <v>-64371.451889050899</v>
      </c>
      <c r="K56" s="51">
        <f>J56*(1+Assumptions!J$24)</f>
        <v>-66737.212335438715</v>
      </c>
      <c r="L56" s="51">
        <f>K56*(1+Assumptions!K$24)</f>
        <v>-69189.918505830705</v>
      </c>
      <c r="M56" s="51">
        <f>L56*(1+Assumptions!L$24)</f>
        <v>-71732.765803605158</v>
      </c>
    </row>
    <row r="57" spans="1:13" x14ac:dyDescent="0.25">
      <c r="A57" s="6" t="s">
        <v>492</v>
      </c>
      <c r="B57" s="6" t="s">
        <v>531</v>
      </c>
      <c r="C57" s="51">
        <f>SUMIF(TB!$A:$A,A57,TB!$D:$D)</f>
        <v>-650000</v>
      </c>
      <c r="D57" s="51">
        <f>C57*(1+Assumptions!C$24)</f>
        <v>-673888.60659539734</v>
      </c>
      <c r="E57" s="51">
        <f>D57*(1+Assumptions!D$24)</f>
        <v>-698655.16015244031</v>
      </c>
      <c r="F57" s="51">
        <f>E57*(1+Assumptions!E$24)</f>
        <v>-724331.92671663407</v>
      </c>
      <c r="G57" s="51">
        <f>F57*(1+Assumptions!F$24)</f>
        <v>-750952.35816558765</v>
      </c>
      <c r="H57" s="51">
        <f>G57*(1+Assumptions!G$24)</f>
        <v>-778551.13579036249</v>
      </c>
      <c r="I57" s="51">
        <f>H57*(1+Assumptions!H$24)</f>
        <v>-807164.21547850978</v>
      </c>
      <c r="J57" s="51">
        <f>I57*(1+Assumptions!I$24)</f>
        <v>-836828.87455766159</v>
      </c>
      <c r="K57" s="51">
        <f>J57*(1+Assumptions!J$24)</f>
        <v>-867583.76036070334</v>
      </c>
      <c r="L57" s="51">
        <f>K57*(1+Assumptions!K$24)</f>
        <v>-899468.94057579921</v>
      </c>
      <c r="M57" s="51">
        <f>L57*(1+Assumptions!L$24)</f>
        <v>-932525.95544686704</v>
      </c>
    </row>
    <row r="58" spans="1:13" x14ac:dyDescent="0.25">
      <c r="A58" s="6" t="s">
        <v>448</v>
      </c>
      <c r="B58" s="6" t="s">
        <v>524</v>
      </c>
      <c r="C58" s="51">
        <f>SUMIF(TB!$A:$A,A58,TB!$D:$D)</f>
        <v>-7397617</v>
      </c>
      <c r="D58" s="51">
        <f>C58*(1+Assumptions!C$24)</f>
        <v>-7669492.0188560365</v>
      </c>
      <c r="E58" s="51">
        <f>D58*(1+Assumptions!D$24)</f>
        <v>-7951358.9075098699</v>
      </c>
      <c r="F58" s="51">
        <f>E58*(1+Assumptions!E$24)</f>
        <v>-8243584.8841872727</v>
      </c>
      <c r="G58" s="51">
        <f>F58*(1+Assumptions!F$24)</f>
        <v>-8546550.663008986</v>
      </c>
      <c r="H58" s="51">
        <f>G58*(1+Assumptions!G$24)</f>
        <v>-8860650.949987838</v>
      </c>
      <c r="I58" s="51">
        <f>H58*(1+Assumptions!H$24)</f>
        <v>-9186294.9572545961</v>
      </c>
      <c r="J58" s="51">
        <f>I58*(1+Assumptions!I$24)</f>
        <v>-9523906.9361825008</v>
      </c>
      <c r="K58" s="51">
        <f>J58*(1+Assumptions!J$24)</f>
        <v>-9873926.7301050238</v>
      </c>
      <c r="L58" s="51">
        <f>K58*(1+Assumptions!K$24)</f>
        <v>-10236810.347346958</v>
      </c>
      <c r="M58" s="51">
        <f>L58*(1+Assumptions!L$24)</f>
        <v>-10613030.555315364</v>
      </c>
    </row>
    <row r="59" spans="1:13" x14ac:dyDescent="0.25">
      <c r="A59" s="6" t="s">
        <v>451</v>
      </c>
      <c r="B59" s="6" t="s">
        <v>532</v>
      </c>
      <c r="C59" s="51">
        <f>SUMIF(TB!$A:$A,A59,TB!$D:$D)</f>
        <v>-54165</v>
      </c>
      <c r="D59" s="51">
        <f>C59*(1+Assumptions!C$24)</f>
        <v>-56155.655963445686</v>
      </c>
      <c r="E59" s="51">
        <f>D59*(1+Assumptions!D$24)</f>
        <v>-58219.471922549121</v>
      </c>
      <c r="F59" s="51">
        <f>E59*(1+Assumptions!E$24)</f>
        <v>-60359.136631702284</v>
      </c>
      <c r="G59" s="51">
        <f>F59*(1+Assumptions!F$24)</f>
        <v>-62577.437661598553</v>
      </c>
      <c r="H59" s="51">
        <f>G59*(1+Assumptions!G$24)</f>
        <v>-64877.265030899987</v>
      </c>
      <c r="I59" s="51">
        <f>H59*(1+Assumptions!H$24)</f>
        <v>-67261.614971374598</v>
      </c>
      <c r="J59" s="51">
        <f>I59*(1+Assumptions!I$24)</f>
        <v>-69733.593831408842</v>
      </c>
      <c r="K59" s="51">
        <f>J59*(1+Assumptions!J$24)</f>
        <v>-72296.422122980774</v>
      </c>
      <c r="L59" s="51">
        <f>K59*(1+Assumptions!K$24)</f>
        <v>-74953.438717366414</v>
      </c>
      <c r="M59" s="51">
        <f>L59*(1+Assumptions!L$24)</f>
        <v>-77708.105195045471</v>
      </c>
    </row>
    <row r="60" spans="1:13" x14ac:dyDescent="0.25">
      <c r="A60" s="6" t="s">
        <v>478</v>
      </c>
      <c r="B60" s="6" t="s">
        <v>533</v>
      </c>
      <c r="C60" s="51">
        <f>SUMIF(TB!$A:$A,A60,TB!$D:$D)</f>
        <v>-180000</v>
      </c>
      <c r="D60" s="51">
        <f>C60*(1+Assumptions!C$24)</f>
        <v>-186615.30644180236</v>
      </c>
      <c r="E60" s="51">
        <f>D60*(1+Assumptions!D$24)</f>
        <v>-193473.73665759887</v>
      </c>
      <c r="F60" s="51">
        <f>E60*(1+Assumptions!E$24)</f>
        <v>-200584.22585999101</v>
      </c>
      <c r="G60" s="51">
        <f>F60*(1+Assumptions!F$24)</f>
        <v>-207956.0376458551</v>
      </c>
      <c r="H60" s="51">
        <f>G60*(1+Assumptions!G$24)</f>
        <v>-215598.77606502353</v>
      </c>
      <c r="I60" s="51">
        <f>H60*(1+Assumptions!H$24)</f>
        <v>-223522.39813251048</v>
      </c>
      <c r="J60" s="51">
        <f>I60*(1+Assumptions!I$24)</f>
        <v>-231737.22680058327</v>
      </c>
      <c r="K60" s="51">
        <f>J60*(1+Assumptions!J$24)</f>
        <v>-240253.96440757945</v>
      </c>
      <c r="L60" s="51">
        <f>K60*(1+Assumptions!K$24)</f>
        <v>-249083.70662099062</v>
      </c>
      <c r="M60" s="51">
        <f>L60*(1+Assumptions!L$24)</f>
        <v>-258237.95689297863</v>
      </c>
    </row>
    <row r="61" spans="1:13" x14ac:dyDescent="0.25">
      <c r="A61" s="6" t="s">
        <v>462</v>
      </c>
      <c r="B61" s="6" t="s">
        <v>534</v>
      </c>
      <c r="C61" s="51">
        <f>SUMIF(TB!$A:$A,A61,TB!$D:$D)</f>
        <v>-560000</v>
      </c>
      <c r="D61" s="51">
        <f>C61*(1+Assumptions!C$24)</f>
        <v>-580580.9533744962</v>
      </c>
      <c r="E61" s="51">
        <f>D61*(1+Assumptions!D$24)</f>
        <v>-601918.29182364093</v>
      </c>
      <c r="F61" s="51">
        <f>E61*(1+Assumptions!E$24)</f>
        <v>-624039.81378663867</v>
      </c>
      <c r="G61" s="51">
        <f>F61*(1+Assumptions!F$24)</f>
        <v>-646974.33934266027</v>
      </c>
      <c r="H61" s="51">
        <f>G61*(1+Assumptions!G$24)</f>
        <v>-670751.74775785091</v>
      </c>
      <c r="I61" s="51">
        <f>H61*(1+Assumptions!H$24)</f>
        <v>-695403.01641225477</v>
      </c>
      <c r="J61" s="51">
        <f>I61*(1+Assumptions!I$24)</f>
        <v>-720960.26115737017</v>
      </c>
      <c r="K61" s="51">
        <f>J61*(1+Assumptions!J$24)</f>
        <v>-747456.77815691382</v>
      </c>
      <c r="L61" s="51">
        <f>K61*(1+Assumptions!K$24)</f>
        <v>-774927.08726530417</v>
      </c>
      <c r="M61" s="51">
        <f>L61*(1+Assumptions!L$24)</f>
        <v>-803406.97700037807</v>
      </c>
    </row>
    <row r="62" spans="1:13" x14ac:dyDescent="0.25">
      <c r="A62" s="6" t="s">
        <v>481</v>
      </c>
      <c r="B62" s="6" t="s">
        <v>535</v>
      </c>
      <c r="C62" s="51">
        <f>SUMIF(TB!$A:$A,A62,TB!$D:$D)</f>
        <v>-90000</v>
      </c>
      <c r="D62" s="51">
        <f>C62*(1+Assumptions!C$24)</f>
        <v>-93307.653220901178</v>
      </c>
      <c r="E62" s="51">
        <f>D62*(1+Assumptions!D$24)</f>
        <v>-96736.868328799435</v>
      </c>
      <c r="F62" s="51">
        <f>E62*(1+Assumptions!E$24)</f>
        <v>-100292.11292999551</v>
      </c>
      <c r="G62" s="51">
        <f>F62*(1+Assumptions!F$24)</f>
        <v>-103978.01882292755</v>
      </c>
      <c r="H62" s="51">
        <f>G62*(1+Assumptions!G$24)</f>
        <v>-107799.38803251176</v>
      </c>
      <c r="I62" s="51">
        <f>H62*(1+Assumptions!H$24)</f>
        <v>-111761.19906625524</v>
      </c>
      <c r="J62" s="51">
        <f>I62*(1+Assumptions!I$24)</f>
        <v>-115868.61340029164</v>
      </c>
      <c r="K62" s="51">
        <f>J62*(1+Assumptions!J$24)</f>
        <v>-120126.98220378972</v>
      </c>
      <c r="L62" s="51">
        <f>K62*(1+Assumptions!K$24)</f>
        <v>-124541.85331049531</v>
      </c>
      <c r="M62" s="51">
        <f>L62*(1+Assumptions!L$24)</f>
        <v>-129118.97844648932</v>
      </c>
    </row>
    <row r="63" spans="1:13" x14ac:dyDescent="0.25">
      <c r="A63" s="6" t="s">
        <v>461</v>
      </c>
      <c r="B63" s="6" t="s">
        <v>536</v>
      </c>
      <c r="C63" s="51">
        <f>SUMIF(TB!$A:$A,A63,TB!$D:$D)</f>
        <v>-53000</v>
      </c>
      <c r="D63" s="51">
        <f>C63*(1+Assumptions!C$24)</f>
        <v>-54947.840230086244</v>
      </c>
      <c r="E63" s="51">
        <f>D63*(1+Assumptions!D$24)</f>
        <v>-56967.266904737444</v>
      </c>
      <c r="F63" s="51">
        <f>E63*(1+Assumptions!E$24)</f>
        <v>-59060.910947664015</v>
      </c>
      <c r="G63" s="51">
        <f>F63*(1+Assumptions!F$24)</f>
        <v>-61231.49997350177</v>
      </c>
      <c r="H63" s="51">
        <f>G63*(1+Assumptions!G$24)</f>
        <v>-63481.861841368031</v>
      </c>
      <c r="I63" s="51">
        <f>H63*(1+Assumptions!H$24)</f>
        <v>-65814.928339016973</v>
      </c>
      <c r="J63" s="51">
        <f>I63*(1+Assumptions!I$24)</f>
        <v>-68233.739002393966</v>
      </c>
      <c r="K63" s="51">
        <f>J63*(1+Assumptions!J$24)</f>
        <v>-70741.445075565061</v>
      </c>
      <c r="L63" s="51">
        <f>K63*(1+Assumptions!K$24)</f>
        <v>-73341.313616180574</v>
      </c>
      <c r="M63" s="51">
        <f>L63*(1+Assumptions!L$24)</f>
        <v>-76036.731751821499</v>
      </c>
    </row>
    <row r="64" spans="1:13" x14ac:dyDescent="0.25">
      <c r="A64" s="6" t="s">
        <v>459</v>
      </c>
      <c r="B64" s="6" t="s">
        <v>537</v>
      </c>
      <c r="C64" s="51">
        <f>SUMIF(TB!$A:$A,A64,TB!$D:$D)</f>
        <v>-645000</v>
      </c>
      <c r="D64" s="51">
        <f>C64*(1+Assumptions!C$24)</f>
        <v>-668704.84808312508</v>
      </c>
      <c r="E64" s="51">
        <f>D64*(1+Assumptions!D$24)</f>
        <v>-693280.88968972932</v>
      </c>
      <c r="F64" s="51">
        <f>E64*(1+Assumptions!E$24)</f>
        <v>-718760.1426649678</v>
      </c>
      <c r="G64" s="51">
        <f>F64*(1+Assumptions!F$24)</f>
        <v>-745175.80156431405</v>
      </c>
      <c r="H64" s="51">
        <f>G64*(1+Assumptions!G$24)</f>
        <v>-772562.28089966753</v>
      </c>
      <c r="I64" s="51">
        <f>H64*(1+Assumptions!H$24)</f>
        <v>-800955.25997482915</v>
      </c>
      <c r="J64" s="51">
        <f>I64*(1+Assumptions!I$24)</f>
        <v>-830391.72936875676</v>
      </c>
      <c r="K64" s="51">
        <f>J64*(1+Assumptions!J$24)</f>
        <v>-860910.03912715963</v>
      </c>
      <c r="L64" s="51">
        <f>K64*(1+Assumptions!K$24)</f>
        <v>-892549.94872521632</v>
      </c>
      <c r="M64" s="51">
        <f>L64*(1+Assumptions!L$24)</f>
        <v>-925352.67886650679</v>
      </c>
    </row>
    <row r="65" spans="1:13" x14ac:dyDescent="0.25">
      <c r="A65" s="6" t="s">
        <v>474</v>
      </c>
      <c r="B65" s="6" t="s">
        <v>538</v>
      </c>
      <c r="C65" s="51">
        <f>SUMIF(TB!$A:$A,A65,TB!$D:$D)</f>
        <v>-16000</v>
      </c>
      <c r="D65" s="51">
        <f>C65*(1+Assumptions!C$24)</f>
        <v>-16588.02723927132</v>
      </c>
      <c r="E65" s="51">
        <f>D65*(1+Assumptions!D$24)</f>
        <v>-17197.665480675456</v>
      </c>
      <c r="F65" s="51">
        <f>E65*(1+Assumptions!E$24)</f>
        <v>-17829.708965332535</v>
      </c>
      <c r="G65" s="51">
        <f>F65*(1+Assumptions!F$24)</f>
        <v>-18484.98112407601</v>
      </c>
      <c r="H65" s="51">
        <f>G65*(1+Assumptions!G$24)</f>
        <v>-19164.335650224315</v>
      </c>
      <c r="I65" s="51">
        <f>H65*(1+Assumptions!H$24)</f>
        <v>-19868.657611778712</v>
      </c>
      <c r="J65" s="51">
        <f>I65*(1+Assumptions!I$24)</f>
        <v>-20598.864604496295</v>
      </c>
      <c r="K65" s="51">
        <f>J65*(1+Assumptions!J$24)</f>
        <v>-21355.907947340398</v>
      </c>
      <c r="L65" s="51">
        <f>K65*(1+Assumptions!K$24)</f>
        <v>-22140.773921865835</v>
      </c>
      <c r="M65" s="51">
        <f>L65*(1+Assumptions!L$24)</f>
        <v>-22954.485057153659</v>
      </c>
    </row>
    <row r="66" spans="1:13" x14ac:dyDescent="0.25">
      <c r="A66" s="6" t="s">
        <v>475</v>
      </c>
      <c r="B66" s="6" t="s">
        <v>539</v>
      </c>
      <c r="C66" s="51">
        <f>SUMIF(TB!$A:$A,A66,TB!$D:$D)</f>
        <v>-250000</v>
      </c>
      <c r="D66" s="51">
        <f>C66*(1+Assumptions!C$24)</f>
        <v>-259187.92561361438</v>
      </c>
      <c r="E66" s="51">
        <f>D66*(1+Assumptions!D$24)</f>
        <v>-268713.52313555399</v>
      </c>
      <c r="F66" s="51">
        <f>E66*(1+Assumptions!E$24)</f>
        <v>-278589.20258332085</v>
      </c>
      <c r="G66" s="51">
        <f>F66*(1+Assumptions!F$24)</f>
        <v>-288827.83006368764</v>
      </c>
      <c r="H66" s="51">
        <f>G66*(1+Assumptions!G$24)</f>
        <v>-299442.74453475489</v>
      </c>
      <c r="I66" s="51">
        <f>H66*(1+Assumptions!H$24)</f>
        <v>-310447.77518404234</v>
      </c>
      <c r="J66" s="51">
        <f>I66*(1+Assumptions!I$24)</f>
        <v>-321857.25944525457</v>
      </c>
      <c r="K66" s="51">
        <f>J66*(1+Assumptions!J$24)</f>
        <v>-333686.06167719368</v>
      </c>
      <c r="L66" s="51">
        <f>K66*(1+Assumptions!K$24)</f>
        <v>-345949.59252915363</v>
      </c>
      <c r="M66" s="51">
        <f>L66*(1+Assumptions!L$24)</f>
        <v>-358663.82901802589</v>
      </c>
    </row>
    <row r="67" spans="1:13" x14ac:dyDescent="0.25">
      <c r="A67" s="6" t="s">
        <v>452</v>
      </c>
      <c r="B67" s="6" t="s">
        <v>522</v>
      </c>
      <c r="C67" s="51">
        <f>SUMIF(TB!$A:$A,A67,TB!$D:$D)</f>
        <v>-129700</v>
      </c>
      <c r="D67" s="51">
        <f>C67*(1+Assumptions!C$24)</f>
        <v>-134466.69580834312</v>
      </c>
      <c r="E67" s="51">
        <f>D67*(1+Assumptions!D$24)</f>
        <v>-139408.57580272539</v>
      </c>
      <c r="F67" s="51">
        <f>E67*(1+Assumptions!E$24)</f>
        <v>-144532.07830022683</v>
      </c>
      <c r="G67" s="51">
        <f>F67*(1+Assumptions!F$24)</f>
        <v>-149843.87823704112</v>
      </c>
      <c r="H67" s="51">
        <f>G67*(1+Assumptions!G$24)</f>
        <v>-155350.89586463082</v>
      </c>
      <c r="I67" s="51">
        <f>H67*(1+Assumptions!H$24)</f>
        <v>-161060.30576548114</v>
      </c>
      <c r="J67" s="51">
        <f>I67*(1+Assumptions!I$24)</f>
        <v>-166979.54620019803</v>
      </c>
      <c r="K67" s="51">
        <f>J67*(1+Assumptions!J$24)</f>
        <v>-173116.32879812806</v>
      </c>
      <c r="L67" s="51">
        <f>K67*(1+Assumptions!K$24)</f>
        <v>-179478.6486041249</v>
      </c>
      <c r="M67" s="51">
        <f>L67*(1+Assumptions!L$24)</f>
        <v>-186074.79449455184</v>
      </c>
    </row>
    <row r="68" spans="1:13" x14ac:dyDescent="0.25">
      <c r="A68" s="6" t="s">
        <v>55</v>
      </c>
      <c r="B68" s="59" t="s">
        <v>56</v>
      </c>
      <c r="C68" s="53">
        <f>SUMIF('Manual Adjust'!$A:$A,$A68,'Manual Adjust'!C:C)</f>
        <v>0</v>
      </c>
      <c r="D68" s="53">
        <f>SUMIF('Manual Adjust'!$A:$A,$A68,'Manual Adjust'!D:D)</f>
        <v>0</v>
      </c>
      <c r="E68" s="53">
        <f>SUMIF('Manual Adjust'!$A:$A,$A68,'Manual Adjust'!E:E)</f>
        <v>0</v>
      </c>
      <c r="F68" s="53">
        <f>SUMIF('Manual Adjust'!$A:$A,$A68,'Manual Adjust'!F:F)</f>
        <v>0</v>
      </c>
      <c r="G68" s="53">
        <f>SUMIF('Manual Adjust'!$A:$A,$A68,'Manual Adjust'!G:G)</f>
        <v>0</v>
      </c>
      <c r="H68" s="53">
        <f>SUMIF('Manual Adjust'!$A:$A,$A68,'Manual Adjust'!H:H)</f>
        <v>0</v>
      </c>
      <c r="I68" s="53">
        <f>SUMIF('Manual Adjust'!$A:$A,$A68,'Manual Adjust'!I:I)</f>
        <v>0</v>
      </c>
      <c r="J68" s="53">
        <f>SUMIF('Manual Adjust'!$A:$A,$A68,'Manual Adjust'!J:J)</f>
        <v>0</v>
      </c>
      <c r="K68" s="53">
        <f>SUMIF('Manual Adjust'!$A:$A,$A68,'Manual Adjust'!K:K)</f>
        <v>0</v>
      </c>
      <c r="L68" s="53">
        <f>SUMIF('Manual Adjust'!$A:$A,$A68,'Manual Adjust'!L:L)</f>
        <v>0</v>
      </c>
      <c r="M68" s="53">
        <f>SUMIF('Manual Adjust'!$A:$A,$A68,'Manual Adjust'!M:M)</f>
        <v>0</v>
      </c>
    </row>
    <row r="69" spans="1:13" x14ac:dyDescent="0.25">
      <c r="A69" s="6"/>
      <c r="B69" s="3" t="s">
        <v>540</v>
      </c>
      <c r="C69" s="61">
        <f t="shared" ref="C69:M69" si="7">SUBTOTAL(9,C50:C68)</f>
        <v>-12565181</v>
      </c>
      <c r="D69" s="61">
        <f t="shared" si="7"/>
        <v>-13026972.793398403</v>
      </c>
      <c r="E69" s="61">
        <f t="shared" si="7"/>
        <v>-13505736.221383691</v>
      </c>
      <c r="F69" s="61">
        <f t="shared" si="7"/>
        <v>-14002095.020420374</v>
      </c>
      <c r="G69" s="61">
        <f t="shared" si="7"/>
        <v>-14516695.850349905</v>
      </c>
      <c r="H69" s="61">
        <f t="shared" si="7"/>
        <v>-15050209.13686382</v>
      </c>
      <c r="I69" s="61">
        <f t="shared" si="7"/>
        <v>-15603329.9449392</v>
      </c>
      <c r="J69" s="61">
        <f t="shared" si="7"/>
        <v>-16176778.88437433</v>
      </c>
      <c r="K69" s="61">
        <f t="shared" si="7"/>
        <v>-16771303.048604408</v>
      </c>
      <c r="L69" s="61">
        <f t="shared" si="7"/>
        <v>-17387676.988020252</v>
      </c>
      <c r="M69" s="61">
        <f t="shared" si="7"/>
        <v>-18026703.719058186</v>
      </c>
    </row>
    <row r="71" spans="1:13" ht="15.75" thickBot="1" x14ac:dyDescent="0.3">
      <c r="B71" s="55" t="s">
        <v>542</v>
      </c>
      <c r="C71" s="56">
        <f>SUBTOTAL(9,C35:C69)</f>
        <v>-17946681</v>
      </c>
      <c r="D71" s="56">
        <f t="shared" ref="D71:M71" si="8">SUBTOTAL(9,D35:D69)</f>
        <v>-18543010.293398399</v>
      </c>
      <c r="E71" s="56">
        <f t="shared" si="8"/>
        <v>-19159674.658883695</v>
      </c>
      <c r="F71" s="56">
        <f t="shared" si="8"/>
        <v>-19797381.918857876</v>
      </c>
      <c r="G71" s="56">
        <f t="shared" si="8"/>
        <v>-20456864.921248343</v>
      </c>
      <c r="H71" s="56">
        <f t="shared" si="8"/>
        <v>-21138882.434534717</v>
      </c>
      <c r="I71" s="56">
        <f t="shared" si="8"/>
        <v>-21851121.665150501</v>
      </c>
      <c r="J71" s="56">
        <f t="shared" si="8"/>
        <v>-22587874.035392508</v>
      </c>
      <c r="K71" s="56">
        <f t="shared" si="8"/>
        <v>-23349997.475333672</v>
      </c>
      <c r="L71" s="56">
        <f t="shared" si="8"/>
        <v>-24130838.775417753</v>
      </c>
      <c r="M71" s="56">
        <f t="shared" si="8"/>
        <v>-24938444.551140621</v>
      </c>
    </row>
    <row r="72" spans="1:13" ht="15.75" thickTop="1" x14ac:dyDescent="0.25"/>
    <row r="74" spans="1:13" x14ac:dyDescent="0.25">
      <c r="A74" s="6"/>
      <c r="B74" s="49" t="s">
        <v>543</v>
      </c>
    </row>
    <row r="75" spans="1:13" x14ac:dyDescent="0.25">
      <c r="A75" s="6"/>
      <c r="B75" s="6"/>
    </row>
    <row r="76" spans="1:13" x14ac:dyDescent="0.25">
      <c r="A76" s="6"/>
      <c r="B76" s="3" t="s">
        <v>57</v>
      </c>
    </row>
    <row r="77" spans="1:13" x14ac:dyDescent="0.25">
      <c r="A77" s="6" t="s">
        <v>468</v>
      </c>
      <c r="B77" s="62" t="s">
        <v>544</v>
      </c>
      <c r="C77" s="51">
        <f>SUMIF(TB!$A:$A,A77,TB!$D:$D)</f>
        <v>-149000</v>
      </c>
      <c r="D77" s="51">
        <f>C77*(1+Assumptions!C16)</f>
        <v>-161244.95465844494</v>
      </c>
      <c r="E77" s="51">
        <f>D77*(1+Assumptions!D16)</f>
        <v>-171072.46006971187</v>
      </c>
      <c r="F77" s="51">
        <f>E77*(1+Assumptions!E16)</f>
        <v>-181493.30988977017</v>
      </c>
      <c r="G77" s="51">
        <f>F77*(1+Assumptions!F16)</f>
        <v>-187061.95228692316</v>
      </c>
      <c r="H77" s="51">
        <f>G77*(1+Assumptions!G16)</f>
        <v>-192795.44780633049</v>
      </c>
      <c r="I77" s="51">
        <f>H77*(1+Assumptions!H16)</f>
        <v>-198698.55592005601</v>
      </c>
      <c r="J77" s="51">
        <f>I77*(1+Assumptions!I16)</f>
        <v>-204776.1709825237</v>
      </c>
      <c r="K77" s="51">
        <f>J77*(1+Assumptions!J16)</f>
        <v>-211033.32599872508</v>
      </c>
      <c r="L77" s="51">
        <f>K77*(1+Assumptions!K16)</f>
        <v>-217475.19649650823</v>
      </c>
      <c r="M77" s="51">
        <f>L77*(1+Assumptions!L16)</f>
        <v>-224107.10450579709</v>
      </c>
    </row>
    <row r="78" spans="1:13" x14ac:dyDescent="0.25">
      <c r="A78" s="6" t="s">
        <v>469</v>
      </c>
      <c r="B78" s="62" t="s">
        <v>545</v>
      </c>
      <c r="C78" s="51">
        <f>SUMIF(TB!$A:$A,A78,TB!$D:$D)</f>
        <v>-1653827</v>
      </c>
      <c r="D78" s="51">
        <f>-'Note 6 to 8'!C21*Assumptions!C32</f>
        <v>-1115402.6857042636</v>
      </c>
      <c r="E78" s="51">
        <f>-'Note 6 to 8'!D21*Assumptions!D32</f>
        <v>-1082902.6857042636</v>
      </c>
      <c r="F78" s="51">
        <f>-'Note 6 to 8'!E21*Assumptions!E32</f>
        <v>-1017902.6857042636</v>
      </c>
      <c r="G78" s="51">
        <f>-'Note 6 to 8'!F21*Assumptions!F32</f>
        <v>-1034152.6857042636</v>
      </c>
      <c r="H78" s="51">
        <f>-'Note 6 to 8'!G21*Assumptions!G32</f>
        <v>-1066652.6857042636</v>
      </c>
      <c r="I78" s="51">
        <f>-'Note 6 to 8'!H21*Assumptions!H32</f>
        <v>-1194338.8757694883</v>
      </c>
      <c r="J78" s="51">
        <f>-'Note 6 to 8'!I21*Assumptions!I32</f>
        <v>-1263938.8757694883</v>
      </c>
      <c r="K78" s="51">
        <f>-'Note 6 to 8'!J21*Assumptions!J32</f>
        <v>-1333538.8757694883</v>
      </c>
      <c r="L78" s="51">
        <f>-'Note 6 to 8'!K21*Assumptions!K32</f>
        <v>-1350938.8757694883</v>
      </c>
      <c r="M78" s="51">
        <f>-'Note 6 to 8'!L21*Assumptions!L32</f>
        <v>-1403138.8757694883</v>
      </c>
    </row>
    <row r="79" spans="1:13" x14ac:dyDescent="0.25">
      <c r="A79" s="6" t="s">
        <v>470</v>
      </c>
      <c r="B79" s="62" t="s">
        <v>546</v>
      </c>
      <c r="C79" s="51">
        <f>SUMIF(TB!$A:$A,A79,TB!$D:$D)</f>
        <v>-3000</v>
      </c>
      <c r="D79" s="51">
        <f>C79</f>
        <v>-3000</v>
      </c>
      <c r="E79" s="51">
        <f t="shared" ref="E79:M79" si="9">D79</f>
        <v>-3000</v>
      </c>
      <c r="F79" s="51">
        <f t="shared" si="9"/>
        <v>-3000</v>
      </c>
      <c r="G79" s="51">
        <f t="shared" si="9"/>
        <v>-3000</v>
      </c>
      <c r="H79" s="51">
        <f t="shared" si="9"/>
        <v>-3000</v>
      </c>
      <c r="I79" s="51">
        <f t="shared" si="9"/>
        <v>-3000</v>
      </c>
      <c r="J79" s="51">
        <f t="shared" si="9"/>
        <v>-3000</v>
      </c>
      <c r="K79" s="51">
        <f t="shared" si="9"/>
        <v>-3000</v>
      </c>
      <c r="L79" s="51">
        <f t="shared" si="9"/>
        <v>-3000</v>
      </c>
      <c r="M79" s="51">
        <f t="shared" si="9"/>
        <v>-3000</v>
      </c>
    </row>
    <row r="80" spans="1:13" x14ac:dyDescent="0.25">
      <c r="A80" s="47" t="s">
        <v>58</v>
      </c>
      <c r="B80" s="63" t="s">
        <v>59</v>
      </c>
      <c r="C80" s="53">
        <f>SUMIF('Manual Adjust'!$A:$A,$A80,'Manual Adjust'!C:C)</f>
        <v>0</v>
      </c>
      <c r="D80" s="53">
        <f>SUMIF('Manual Adjust'!$A:$A,$A80,'Manual Adjust'!D:D)</f>
        <v>0</v>
      </c>
      <c r="E80" s="53">
        <f>SUMIF('Manual Adjust'!$A:$A,$A80,'Manual Adjust'!E:E)</f>
        <v>0</v>
      </c>
      <c r="F80" s="53">
        <f>SUMIF('Manual Adjust'!$A:$A,$A80,'Manual Adjust'!F:F)</f>
        <v>0</v>
      </c>
      <c r="G80" s="53">
        <f>SUMIF('Manual Adjust'!$A:$A,$A80,'Manual Adjust'!G:G)</f>
        <v>0</v>
      </c>
      <c r="H80" s="53">
        <f>SUMIF('Manual Adjust'!$A:$A,$A80,'Manual Adjust'!H:H)</f>
        <v>0</v>
      </c>
      <c r="I80" s="53">
        <f>SUMIF('Manual Adjust'!$A:$A,$A80,'Manual Adjust'!I:I)</f>
        <v>0</v>
      </c>
      <c r="J80" s="53">
        <f>SUMIF('Manual Adjust'!$A:$A,$A80,'Manual Adjust'!J:J)</f>
        <v>0</v>
      </c>
      <c r="K80" s="53">
        <f>SUMIF('Manual Adjust'!$A:$A,$A80,'Manual Adjust'!K:K)</f>
        <v>0</v>
      </c>
      <c r="L80" s="53">
        <f>SUMIF('Manual Adjust'!$A:$A,$A80,'Manual Adjust'!L:L)</f>
        <v>0</v>
      </c>
      <c r="M80" s="53">
        <f>SUMIF('Manual Adjust'!$A:$A,$A80,'Manual Adjust'!M:M)</f>
        <v>0</v>
      </c>
    </row>
    <row r="81" spans="1:13" ht="15.75" thickBot="1" x14ac:dyDescent="0.3">
      <c r="A81" s="6"/>
      <c r="B81" s="55" t="s">
        <v>547</v>
      </c>
      <c r="C81" s="56">
        <f>SUBTOTAL(9,C77:C80)</f>
        <v>-1805827</v>
      </c>
      <c r="D81" s="56">
        <f t="shared" ref="D81:M81" si="10">SUBTOTAL(9,D77:D80)</f>
        <v>-1279647.6403627086</v>
      </c>
      <c r="E81" s="56">
        <f t="shared" si="10"/>
        <v>-1256975.1457739754</v>
      </c>
      <c r="F81" s="56">
        <f t="shared" si="10"/>
        <v>-1202395.9955940337</v>
      </c>
      <c r="G81" s="56">
        <f t="shared" si="10"/>
        <v>-1224214.6379911867</v>
      </c>
      <c r="H81" s="56">
        <f t="shared" si="10"/>
        <v>-1262448.133510594</v>
      </c>
      <c r="I81" s="56">
        <f t="shared" si="10"/>
        <v>-1396037.4316895443</v>
      </c>
      <c r="J81" s="56">
        <f t="shared" si="10"/>
        <v>-1471715.0467520119</v>
      </c>
      <c r="K81" s="56">
        <f t="shared" si="10"/>
        <v>-1547572.2017682134</v>
      </c>
      <c r="L81" s="56">
        <f t="shared" si="10"/>
        <v>-1571414.0722659966</v>
      </c>
      <c r="M81" s="56">
        <f t="shared" si="10"/>
        <v>-1630245.9802752854</v>
      </c>
    </row>
    <row r="82" spans="1:13" ht="15.75" thickTop="1" x14ac:dyDescent="0.25"/>
    <row r="84" spans="1:13" x14ac:dyDescent="0.25">
      <c r="A84" s="6"/>
      <c r="B84" s="49" t="s">
        <v>548</v>
      </c>
    </row>
    <row r="85" spans="1:13" x14ac:dyDescent="0.25">
      <c r="A85" s="6"/>
      <c r="B85" s="6"/>
    </row>
    <row r="86" spans="1:13" x14ac:dyDescent="0.25">
      <c r="A86" s="6" t="s">
        <v>449</v>
      </c>
      <c r="B86" s="6" t="s">
        <v>549</v>
      </c>
      <c r="C86" s="51">
        <f>SUMIF(TB!$A:$A,A86,TB!$D:$D)</f>
        <v>-2922131</v>
      </c>
      <c r="D86" s="51">
        <f>C86*(1+Assumptions!C$24)</f>
        <v>-3029524.2890449464</v>
      </c>
      <c r="E86" s="51">
        <f>D86*(1+Assumptions!D$24)</f>
        <v>-3140864.4642944783</v>
      </c>
      <c r="F86" s="51">
        <f>E86*(1+Assumptions!E$24)</f>
        <v>-3256296.5805360079</v>
      </c>
      <c r="G86" s="51">
        <f>F86*(1+Assumptions!F$24)</f>
        <v>-3375971.0235673347</v>
      </c>
      <c r="H86" s="51">
        <f>G86*(1+Assumptions!G$24)</f>
        <v>-3500043.7061203518</v>
      </c>
      <c r="I86" s="51">
        <f>H86*(1+Assumptions!H$24)</f>
        <v>-3628676.2709852834</v>
      </c>
      <c r="J86" s="51">
        <f>I86*(1+Assumptions!I$24)</f>
        <v>-3762036.3016000846</v>
      </c>
      <c r="K86" s="51">
        <f>J86*(1+Assumptions!J$24)</f>
        <v>-3900297.5403793585</v>
      </c>
      <c r="L86" s="51">
        <f>K86*(1+Assumptions!K$24)</f>
        <v>-4043640.1150672329</v>
      </c>
      <c r="M86" s="51">
        <f>L86*(1+Assumptions!L$24)</f>
        <v>-4192250.7734090919</v>
      </c>
    </row>
    <row r="87" spans="1:13" x14ac:dyDescent="0.25">
      <c r="A87" s="6" t="s">
        <v>472</v>
      </c>
      <c r="B87" s="6" t="s">
        <v>550</v>
      </c>
      <c r="C87" s="51">
        <f>SUMIF(TB!$A:$A,A87,TB!$D:$D)</f>
        <v>-4100000</v>
      </c>
      <c r="D87" s="51">
        <f>C87*(1+Assumptions!C$9)</f>
        <v>-4202500</v>
      </c>
      <c r="E87" s="51">
        <f>D87*(1+Assumptions!D$9)</f>
        <v>-4307562.5</v>
      </c>
      <c r="F87" s="51">
        <f>E87*(1+Assumptions!E$9)</f>
        <v>-4415251.5625</v>
      </c>
      <c r="G87" s="51">
        <f>F87*(1+Assumptions!F$9)</f>
        <v>-4525632.8515625</v>
      </c>
      <c r="H87" s="51">
        <f>G87*(1+Assumptions!G$9)</f>
        <v>-4638773.6728515625</v>
      </c>
      <c r="I87" s="51">
        <f>H87*(1+Assumptions!H$9)</f>
        <v>-4754743.0146728512</v>
      </c>
      <c r="J87" s="51">
        <f>I87*(1+Assumptions!I$9)</f>
        <v>-4873611.5900396723</v>
      </c>
      <c r="K87" s="51">
        <f>J87*(1+Assumptions!J$9)</f>
        <v>-4995451.8797906637</v>
      </c>
      <c r="L87" s="51">
        <f>K87*(1+Assumptions!K$9)</f>
        <v>-5120338.1767854299</v>
      </c>
      <c r="M87" s="51">
        <f>L87*(1+Assumptions!L$9)</f>
        <v>-5248346.6312050652</v>
      </c>
    </row>
    <row r="88" spans="1:13" x14ac:dyDescent="0.25">
      <c r="A88" s="6" t="s">
        <v>473</v>
      </c>
      <c r="B88" s="6" t="s">
        <v>551</v>
      </c>
      <c r="C88" s="51">
        <f>SUMIF(TB!$A:$A,A88,TB!$D:$D)</f>
        <v>-308000</v>
      </c>
      <c r="D88" s="51">
        <f>C88*(1+Assumptions!C$9)</f>
        <v>-315700</v>
      </c>
      <c r="E88" s="51">
        <f>D88*(1+Assumptions!D$9)</f>
        <v>-323592.5</v>
      </c>
      <c r="F88" s="51">
        <f>E88*(1+Assumptions!E$9)</f>
        <v>-331682.3125</v>
      </c>
      <c r="G88" s="51">
        <f>F88*(1+Assumptions!F$9)</f>
        <v>-339974.37031249999</v>
      </c>
      <c r="H88" s="51">
        <f>G88*(1+Assumptions!G$9)</f>
        <v>-348473.72957031248</v>
      </c>
      <c r="I88" s="51">
        <f>H88*(1+Assumptions!H$9)</f>
        <v>-357185.57280957024</v>
      </c>
      <c r="J88" s="51">
        <f>I88*(1+Assumptions!I$9)</f>
        <v>-366115.21212980949</v>
      </c>
      <c r="K88" s="51">
        <f>J88*(1+Assumptions!J$9)</f>
        <v>-375268.0924330547</v>
      </c>
      <c r="L88" s="51">
        <f>K88*(1+Assumptions!K$9)</f>
        <v>-384649.79474388104</v>
      </c>
      <c r="M88" s="51">
        <f>L88*(1+Assumptions!L$9)</f>
        <v>-394266.03961247805</v>
      </c>
    </row>
    <row r="89" spans="1:13" x14ac:dyDescent="0.25">
      <c r="A89" s="6" t="s">
        <v>480</v>
      </c>
      <c r="B89" s="6" t="s">
        <v>552</v>
      </c>
      <c r="C89" s="51">
        <f>SUMIF(TB!$A:$A,A89,TB!$D:$D)</f>
        <v>-48000</v>
      </c>
      <c r="D89" s="51">
        <f>C89*(1+Assumptions!C$24)</f>
        <v>-49764.081717813955</v>
      </c>
      <c r="E89" s="51">
        <f>D89*(1+Assumptions!D$24)</f>
        <v>-51592.996442026357</v>
      </c>
      <c r="F89" s="51">
        <f>E89*(1+Assumptions!E$24)</f>
        <v>-53489.126895997593</v>
      </c>
      <c r="G89" s="51">
        <f>F89*(1+Assumptions!F$24)</f>
        <v>-55454.943372228016</v>
      </c>
      <c r="H89" s="51">
        <f>G89*(1+Assumptions!G$24)</f>
        <v>-57493.006950672927</v>
      </c>
      <c r="I89" s="51">
        <f>H89*(1+Assumptions!H$24)</f>
        <v>-59605.972835336113</v>
      </c>
      <c r="J89" s="51">
        <f>I89*(1+Assumptions!I$24)</f>
        <v>-61796.593813488864</v>
      </c>
      <c r="K89" s="51">
        <f>J89*(1+Assumptions!J$24)</f>
        <v>-64067.723842021172</v>
      </c>
      <c r="L89" s="51">
        <f>K89*(1+Assumptions!K$24)</f>
        <v>-66422.321765597488</v>
      </c>
      <c r="M89" s="51">
        <f>L89*(1+Assumptions!L$24)</f>
        <v>-68863.455171460955</v>
      </c>
    </row>
    <row r="90" spans="1:13" x14ac:dyDescent="0.25">
      <c r="A90" s="6" t="s">
        <v>477</v>
      </c>
      <c r="B90" s="6" t="s">
        <v>553</v>
      </c>
      <c r="C90" s="51">
        <f>SUMIF(TB!$A:$A,A90,TB!$D:$D)</f>
        <v>-1024604</v>
      </c>
      <c r="D90" s="51">
        <f>C90*(1+Assumptions!C$24)</f>
        <v>-1062259.9413416469</v>
      </c>
      <c r="E90" s="51">
        <f>D90*(1+Assumptions!D$24)</f>
        <v>-1101299.8026351247</v>
      </c>
      <c r="F90" s="51">
        <f>E90*(1+Assumptions!E$24)</f>
        <v>-1141774.4452947234</v>
      </c>
      <c r="G90" s="51">
        <f>F90*(1+Assumptions!F$24)</f>
        <v>-1183736.5999782982</v>
      </c>
      <c r="H90" s="51">
        <f>G90*(1+Assumptions!G$24)</f>
        <v>-1227240.9352851517</v>
      </c>
      <c r="I90" s="51">
        <f>H90*(1+Assumptions!H$24)</f>
        <v>-1272344.1289786818</v>
      </c>
      <c r="J90" s="51">
        <f>I90*(1+Assumptions!I$24)</f>
        <v>-1319104.9418265822</v>
      </c>
      <c r="K90" s="51">
        <f>J90*(1+Assumptions!J$24)</f>
        <v>-1367584.2941547972</v>
      </c>
      <c r="L90" s="51">
        <f>K90*(1+Assumptions!K$24)</f>
        <v>-1417845.3452149637</v>
      </c>
      <c r="M90" s="51">
        <f>L90*(1+Assumptions!L$24)</f>
        <v>-1469953.5754687416</v>
      </c>
    </row>
    <row r="91" spans="1:13" x14ac:dyDescent="0.25">
      <c r="A91" s="6" t="s">
        <v>479</v>
      </c>
      <c r="B91" s="6" t="s">
        <v>554</v>
      </c>
      <c r="C91" s="51">
        <f>SUMIF(TB!$A:$A,A91,TB!$D:$D)</f>
        <v>-88000</v>
      </c>
      <c r="D91" s="51">
        <f>C91*(1+Assumptions!C$24)</f>
        <v>-91234.149815992263</v>
      </c>
      <c r="E91" s="51">
        <f>D91*(1+Assumptions!D$24)</f>
        <v>-94587.160143715009</v>
      </c>
      <c r="F91" s="51">
        <f>E91*(1+Assumptions!E$24)</f>
        <v>-98063.399309328946</v>
      </c>
      <c r="G91" s="51">
        <f>F91*(1+Assumptions!F$24)</f>
        <v>-101667.39618241806</v>
      </c>
      <c r="H91" s="51">
        <f>G91*(1+Assumptions!G$24)</f>
        <v>-105403.84607623373</v>
      </c>
      <c r="I91" s="51">
        <f>H91*(1+Assumptions!H$24)</f>
        <v>-109277.61686478292</v>
      </c>
      <c r="J91" s="51">
        <f>I91*(1+Assumptions!I$24)</f>
        <v>-113293.75532472962</v>
      </c>
      <c r="K91" s="51">
        <f>J91*(1+Assumptions!J$24)</f>
        <v>-117457.49371037219</v>
      </c>
      <c r="L91" s="51">
        <f>K91*(1+Assumptions!K$24)</f>
        <v>-121774.25657026209</v>
      </c>
      <c r="M91" s="51">
        <f>L91*(1+Assumptions!L$24)</f>
        <v>-126249.66781434513</v>
      </c>
    </row>
    <row r="92" spans="1:13" x14ac:dyDescent="0.25">
      <c r="A92" s="6" t="s">
        <v>476</v>
      </c>
      <c r="B92" s="6" t="s">
        <v>60</v>
      </c>
      <c r="C92" s="51">
        <f>SUMIF(TB!$A:$A,A92,TB!$D:$D)</f>
        <v>-51590</v>
      </c>
      <c r="D92" s="51">
        <f>C92*(1+Assumptions!C$24)</f>
        <v>-53486.020329625462</v>
      </c>
      <c r="E92" s="51">
        <f>D92*(1+Assumptions!D$24)</f>
        <v>-55451.722634252917</v>
      </c>
      <c r="F92" s="51">
        <f>E92*(1+Assumptions!E$24)</f>
        <v>-57489.667845094082</v>
      </c>
      <c r="G92" s="51">
        <f>F92*(1+Assumptions!F$24)</f>
        <v>-59602.511011942574</v>
      </c>
      <c r="H92" s="51">
        <f>G92*(1+Assumptions!G$24)</f>
        <v>-61793.004762192009</v>
      </c>
      <c r="I92" s="51">
        <f>H92*(1+Assumptions!H$24)</f>
        <v>-64064.00288697896</v>
      </c>
      <c r="J92" s="51">
        <f>I92*(1+Assumptions!I$24)</f>
        <v>-66418.464059122722</v>
      </c>
      <c r="K92" s="51">
        <f>J92*(1+Assumptions!J$24)</f>
        <v>-68859.455687705675</v>
      </c>
      <c r="L92" s="51">
        <f>K92*(1+Assumptions!K$24)</f>
        <v>-71390.157914316136</v>
      </c>
      <c r="M92" s="51">
        <f>L92*(1+Assumptions!L$24)</f>
        <v>-74013.867756159816</v>
      </c>
    </row>
    <row r="93" spans="1:13" x14ac:dyDescent="0.25">
      <c r="A93" s="6" t="s">
        <v>61</v>
      </c>
      <c r="B93" s="59" t="s">
        <v>62</v>
      </c>
      <c r="C93" s="53">
        <f>SUMIF('Manual Adjust'!$A:$A,$A93,'Manual Adjust'!C:C)</f>
        <v>0</v>
      </c>
      <c r="D93" s="53">
        <f>SUMIF('Manual Adjust'!$A:$A,$A93,'Manual Adjust'!D:D)</f>
        <v>219969.05371241222</v>
      </c>
      <c r="E93" s="53">
        <f>SUMIF('Manual Adjust'!$A:$A,$A93,'Manual Adjust'!E:E)</f>
        <v>200150.46684714512</v>
      </c>
      <c r="F93" s="53">
        <f>SUMIF('Manual Adjust'!$A:$A,$A93,'Manual Adjust'!F:F)</f>
        <v>209097.16452564392</v>
      </c>
      <c r="G93" s="53">
        <f>SUMIF('Manual Adjust'!$A:$A,$A93,'Manual Adjust'!G:G)</f>
        <v>218586.5336200801</v>
      </c>
      <c r="H93" s="53">
        <f>SUMIF('Manual Adjust'!$A:$A,$A93,'Manual Adjust'!H:H)</f>
        <v>228509.82678364124</v>
      </c>
      <c r="I93" s="53">
        <f>SUMIF('Manual Adjust'!$A:$A,$A93,'Manual Adjust'!I:I)</f>
        <v>238655.63886901434</v>
      </c>
      <c r="J93" s="53">
        <f>SUMIF('Manual Adjust'!$A:$A,$A93,'Manual Adjust'!J:J)</f>
        <v>249006.8793482153</v>
      </c>
      <c r="K93" s="53">
        <f>SUMIF('Manual Adjust'!$A:$A,$A93,'Manual Adjust'!K:K)</f>
        <v>260163.4993787728</v>
      </c>
      <c r="L93" s="53">
        <f>SUMIF('Manual Adjust'!$A:$A,$A93,'Manual Adjust'!L:L)</f>
        <v>271836.20145338407</v>
      </c>
      <c r="M93" s="53">
        <f>SUMIF('Manual Adjust'!$A:$A,$A93,'Manual Adjust'!M:M)</f>
        <v>284049.11971595278</v>
      </c>
    </row>
    <row r="94" spans="1:13" ht="15.75" thickBot="1" x14ac:dyDescent="0.3">
      <c r="A94" s="6"/>
      <c r="B94" s="55" t="s">
        <v>555</v>
      </c>
      <c r="C94" s="56">
        <f>SUBTOTAL(9,C86:C93)</f>
        <v>-8542325</v>
      </c>
      <c r="D94" s="56">
        <f t="shared" ref="D94:M94" si="11">SUBTOTAL(9,D86:D93)</f>
        <v>-8584499.4285376128</v>
      </c>
      <c r="E94" s="56">
        <f t="shared" si="11"/>
        <v>-8874800.6793024503</v>
      </c>
      <c r="F94" s="56">
        <f t="shared" si="11"/>
        <v>-9144949.9303555079</v>
      </c>
      <c r="G94" s="56">
        <f t="shared" si="11"/>
        <v>-9423453.1623671427</v>
      </c>
      <c r="H94" s="56">
        <f t="shared" si="11"/>
        <v>-9710712.0748328343</v>
      </c>
      <c r="I94" s="56">
        <f t="shared" si="11"/>
        <v>-10007240.941164471</v>
      </c>
      <c r="J94" s="56">
        <f t="shared" si="11"/>
        <v>-10313369.979445273</v>
      </c>
      <c r="K94" s="56">
        <f t="shared" si="11"/>
        <v>-10628822.9806192</v>
      </c>
      <c r="L94" s="56">
        <f t="shared" si="11"/>
        <v>-10954223.966608299</v>
      </c>
      <c r="M94" s="56">
        <f t="shared" si="11"/>
        <v>-11289894.89072139</v>
      </c>
    </row>
    <row r="95" spans="1:13" ht="15.75" thickTop="1" x14ac:dyDescent="0.25"/>
    <row r="97" spans="1:13" x14ac:dyDescent="0.25">
      <c r="A97" s="6"/>
      <c r="B97" s="49" t="s">
        <v>556</v>
      </c>
    </row>
    <row r="98" spans="1:13" x14ac:dyDescent="0.25">
      <c r="A98" s="6"/>
      <c r="B98" s="6"/>
    </row>
    <row r="99" spans="1:13" x14ac:dyDescent="0.25">
      <c r="A99" s="6"/>
      <c r="B99" s="3" t="s">
        <v>557</v>
      </c>
    </row>
    <row r="100" spans="1:13" x14ac:dyDescent="0.25">
      <c r="A100" s="6" t="s">
        <v>482</v>
      </c>
      <c r="B100" s="6" t="s">
        <v>558</v>
      </c>
      <c r="C100" s="51">
        <f>SUMIF(TB!$A:$A,A100,TB!$D:$D)</f>
        <v>-2917550</v>
      </c>
      <c r="D100" s="51">
        <f>C100*(1+Assumptions!C28)</f>
        <v>-2990488.7499999995</v>
      </c>
      <c r="E100" s="51">
        <f>D100*(1+Assumptions!D28)</f>
        <v>-3065250.9687499991</v>
      </c>
      <c r="F100" s="51">
        <f>E100*(1+Assumptions!E28)</f>
        <v>-3141882.2429687488</v>
      </c>
      <c r="G100" s="51">
        <f>F100*(1+Assumptions!F28)</f>
        <v>-3220429.2990429671</v>
      </c>
      <c r="H100" s="51">
        <f>G100*(1+Assumptions!G28)</f>
        <v>-3300940.0315190409</v>
      </c>
      <c r="I100" s="51">
        <f>H100*(1+Assumptions!H28)</f>
        <v>-3383463.5323070167</v>
      </c>
      <c r="J100" s="51">
        <f>I100*(1+Assumptions!I28)</f>
        <v>-3468050.1206146916</v>
      </c>
      <c r="K100" s="51">
        <f>J100*(1+Assumptions!J28)</f>
        <v>-3554751.3736300585</v>
      </c>
      <c r="L100" s="51">
        <f>K100*(1+Assumptions!K28)</f>
        <v>-3643620.1579708098</v>
      </c>
      <c r="M100" s="51">
        <f>L100*(1+Assumptions!L28)</f>
        <v>-3734710.66192008</v>
      </c>
    </row>
    <row r="101" spans="1:13" x14ac:dyDescent="0.25">
      <c r="A101" s="6" t="s">
        <v>483</v>
      </c>
      <c r="B101" s="6" t="s">
        <v>559</v>
      </c>
      <c r="C101" s="51">
        <f>SUMIF(TB!$A:$A,A101,TB!$D:$D)</f>
        <v>-914224</v>
      </c>
      <c r="D101" s="51">
        <f>C101*(1+Assumptions!C28)</f>
        <v>-937079.6</v>
      </c>
      <c r="E101" s="51">
        <f>D101*(1+Assumptions!D28)</f>
        <v>-960506.58999999985</v>
      </c>
      <c r="F101" s="51">
        <f>E101*(1+Assumptions!E28)</f>
        <v>-984519.25474999973</v>
      </c>
      <c r="G101" s="51">
        <f>F101*(1+Assumptions!F28)</f>
        <v>-1009132.2361187496</v>
      </c>
      <c r="H101" s="51">
        <f>G101*(1+Assumptions!G28)</f>
        <v>-1034360.5420217182</v>
      </c>
      <c r="I101" s="51">
        <f>H101*(1+Assumptions!H28)</f>
        <v>-1060219.5555722611</v>
      </c>
      <c r="J101" s="51">
        <f>I101*(1+Assumptions!I28)</f>
        <v>-1086725.0444615674</v>
      </c>
      <c r="K101" s="51">
        <f>J101*(1+Assumptions!J28)</f>
        <v>-1113893.1705731065</v>
      </c>
      <c r="L101" s="51">
        <f>K101*(1+Assumptions!K28)</f>
        <v>-1141740.4998374342</v>
      </c>
      <c r="M101" s="51">
        <f>L101*(1+Assumptions!L28)</f>
        <v>-1170284.0123333698</v>
      </c>
    </row>
    <row r="102" spans="1:13" x14ac:dyDescent="0.25">
      <c r="A102" s="6" t="s">
        <v>484</v>
      </c>
      <c r="B102" s="6" t="s">
        <v>560</v>
      </c>
      <c r="C102" s="51">
        <f>SUMIF(TB!$A:$A,A102,TB!$D:$D)</f>
        <v>-451000</v>
      </c>
      <c r="D102" s="51">
        <f>C102</f>
        <v>-451000</v>
      </c>
      <c r="E102" s="51">
        <f t="shared" ref="E102:M102" si="12">D102</f>
        <v>-451000</v>
      </c>
      <c r="F102" s="51">
        <f t="shared" si="12"/>
        <v>-451000</v>
      </c>
      <c r="G102" s="51">
        <f t="shared" si="12"/>
        <v>-451000</v>
      </c>
      <c r="H102" s="51">
        <f t="shared" si="12"/>
        <v>-451000</v>
      </c>
      <c r="I102" s="51">
        <f t="shared" si="12"/>
        <v>-451000</v>
      </c>
      <c r="J102" s="51">
        <f t="shared" si="12"/>
        <v>-451000</v>
      </c>
      <c r="K102" s="51">
        <f t="shared" si="12"/>
        <v>-451000</v>
      </c>
      <c r="L102" s="51">
        <f t="shared" si="12"/>
        <v>-451000</v>
      </c>
      <c r="M102" s="51">
        <f t="shared" si="12"/>
        <v>-451000</v>
      </c>
    </row>
    <row r="103" spans="1:13" x14ac:dyDescent="0.25">
      <c r="A103" s="6" t="s">
        <v>64</v>
      </c>
      <c r="B103" s="59" t="s">
        <v>65</v>
      </c>
      <c r="C103" s="53">
        <f>SUMIF('Manual Adjust'!$A:$A,$A103,'Manual Adjust'!C:C)</f>
        <v>0</v>
      </c>
      <c r="D103" s="53">
        <f>SUMIF('Manual Adjust'!$A:$A,$A103,'Manual Adjust'!D:D)</f>
        <v>0</v>
      </c>
      <c r="E103" s="53">
        <f>SUMIF('Manual Adjust'!$A:$A,$A103,'Manual Adjust'!E:E)</f>
        <v>0</v>
      </c>
      <c r="F103" s="53">
        <f>SUMIF('Manual Adjust'!$A:$A,$A103,'Manual Adjust'!F:F)</f>
        <v>0</v>
      </c>
      <c r="G103" s="53">
        <f>SUMIF('Manual Adjust'!$A:$A,$A103,'Manual Adjust'!G:G)</f>
        <v>0</v>
      </c>
      <c r="H103" s="53">
        <f>SUMIF('Manual Adjust'!$A:$A,$A103,'Manual Adjust'!H:H)</f>
        <v>0</v>
      </c>
      <c r="I103" s="53">
        <f>SUMIF('Manual Adjust'!$A:$A,$A103,'Manual Adjust'!I:I)</f>
        <v>0</v>
      </c>
      <c r="J103" s="53">
        <f>SUMIF('Manual Adjust'!$A:$A,$A103,'Manual Adjust'!J:J)</f>
        <v>0</v>
      </c>
      <c r="K103" s="53">
        <f>SUMIF('Manual Adjust'!$A:$A,$A103,'Manual Adjust'!K:K)</f>
        <v>0</v>
      </c>
      <c r="L103" s="53">
        <f>SUMIF('Manual Adjust'!$A:$A,$A103,'Manual Adjust'!L:L)</f>
        <v>0</v>
      </c>
      <c r="M103" s="53">
        <f>SUMIF('Manual Adjust'!$A:$A,$A103,'Manual Adjust'!M:M)</f>
        <v>0</v>
      </c>
    </row>
    <row r="104" spans="1:13" x14ac:dyDescent="0.25">
      <c r="A104" s="6"/>
      <c r="B104" s="3" t="s">
        <v>561</v>
      </c>
      <c r="C104" s="61">
        <f>SUBTOTAL(9,C100:C103)</f>
        <v>-4282774</v>
      </c>
      <c r="D104" s="61">
        <f t="shared" ref="D104:M104" si="13">SUBTOTAL(9,D100:D103)</f>
        <v>-4378568.3499999996</v>
      </c>
      <c r="E104" s="61">
        <f t="shared" si="13"/>
        <v>-4476757.5587499989</v>
      </c>
      <c r="F104" s="61">
        <f t="shared" si="13"/>
        <v>-4577401.4977187486</v>
      </c>
      <c r="G104" s="61">
        <f t="shared" si="13"/>
        <v>-4680561.5351617169</v>
      </c>
      <c r="H104" s="61">
        <f t="shared" si="13"/>
        <v>-4786300.5735407593</v>
      </c>
      <c r="I104" s="61">
        <f t="shared" si="13"/>
        <v>-4894683.0878792778</v>
      </c>
      <c r="J104" s="61">
        <f t="shared" si="13"/>
        <v>-5005775.1650762595</v>
      </c>
      <c r="K104" s="61">
        <f t="shared" si="13"/>
        <v>-5119644.544203165</v>
      </c>
      <c r="L104" s="61">
        <f t="shared" si="13"/>
        <v>-5236360.6578082442</v>
      </c>
      <c r="M104" s="61">
        <f t="shared" si="13"/>
        <v>-5355994.6742534498</v>
      </c>
    </row>
    <row r="106" spans="1:13" x14ac:dyDescent="0.25">
      <c r="A106" s="6"/>
      <c r="B106" s="3" t="s">
        <v>562</v>
      </c>
    </row>
    <row r="107" spans="1:13" x14ac:dyDescent="0.25">
      <c r="A107" s="6"/>
      <c r="B107" s="6" t="s">
        <v>563</v>
      </c>
    </row>
    <row r="108" spans="1:13" x14ac:dyDescent="0.25">
      <c r="A108" s="6" t="s">
        <v>485</v>
      </c>
      <c r="B108" s="6" t="s">
        <v>564</v>
      </c>
      <c r="C108" s="51">
        <f>SUMIF(TB!$A:$A,A108,TB!$D:$D)</f>
        <v>-220000</v>
      </c>
      <c r="D108" s="51">
        <f>C108</f>
        <v>-220000</v>
      </c>
      <c r="E108" s="51">
        <f t="shared" ref="E108:M108" si="14">D108</f>
        <v>-220000</v>
      </c>
      <c r="F108" s="51">
        <f t="shared" si="14"/>
        <v>-220000</v>
      </c>
      <c r="G108" s="51">
        <f t="shared" si="14"/>
        <v>-220000</v>
      </c>
      <c r="H108" s="51">
        <f t="shared" si="14"/>
        <v>-220000</v>
      </c>
      <c r="I108" s="51">
        <f t="shared" si="14"/>
        <v>-220000</v>
      </c>
      <c r="J108" s="51">
        <f t="shared" si="14"/>
        <v>-220000</v>
      </c>
      <c r="K108" s="51">
        <f t="shared" si="14"/>
        <v>-220000</v>
      </c>
      <c r="L108" s="51">
        <f t="shared" si="14"/>
        <v>-220000</v>
      </c>
      <c r="M108" s="51">
        <f t="shared" si="14"/>
        <v>-220000</v>
      </c>
    </row>
    <row r="109" spans="1:13" x14ac:dyDescent="0.25">
      <c r="A109" s="6" t="s">
        <v>488</v>
      </c>
      <c r="B109" s="6" t="s">
        <v>565</v>
      </c>
      <c r="C109" s="51">
        <f>SUMIF(TB!$A:$A,A109,TB!$D:$D)</f>
        <v>-250020</v>
      </c>
      <c r="D109" s="51">
        <f>C109*(1+Assumptions!C28)</f>
        <v>-256270.49999999997</v>
      </c>
      <c r="E109" s="51">
        <f>D109*(1+Assumptions!D28)</f>
        <v>-262677.26249999995</v>
      </c>
      <c r="F109" s="51">
        <f>E109*(1+Assumptions!E28)</f>
        <v>-269244.19406249991</v>
      </c>
      <c r="G109" s="51">
        <f>F109*(1+Assumptions!F28)</f>
        <v>-275975.29891406238</v>
      </c>
      <c r="H109" s="51">
        <f>G109*(1+Assumptions!G28)</f>
        <v>-282874.68138691393</v>
      </c>
      <c r="I109" s="51">
        <f>H109*(1+Assumptions!H28)</f>
        <v>-289946.54842158675</v>
      </c>
      <c r="J109" s="51">
        <f>I109*(1+Assumptions!I28)</f>
        <v>-297195.21213212638</v>
      </c>
      <c r="K109" s="51">
        <f>J109*(1+Assumptions!J28)</f>
        <v>-304625.09243542951</v>
      </c>
      <c r="L109" s="51">
        <f>K109*(1+Assumptions!K28)</f>
        <v>-312240.71974631521</v>
      </c>
      <c r="M109" s="51">
        <f>L109*(1+Assumptions!L28)</f>
        <v>-320046.73773997306</v>
      </c>
    </row>
    <row r="110" spans="1:13" x14ac:dyDescent="0.25">
      <c r="A110" s="6" t="s">
        <v>487</v>
      </c>
      <c r="B110" s="6" t="s">
        <v>566</v>
      </c>
      <c r="C110" s="51">
        <f>SUMIF(TB!$A:$A,A110,TB!$D:$D)</f>
        <v>-359014</v>
      </c>
      <c r="D110" s="51">
        <f>C110*(1+Assumptions!C28)</f>
        <v>-367989.35</v>
      </c>
      <c r="E110" s="51">
        <f>D110*(1+Assumptions!D28)</f>
        <v>-377189.08374999993</v>
      </c>
      <c r="F110" s="51">
        <f>E110*(1+Assumptions!E28)</f>
        <v>-386618.8108437499</v>
      </c>
      <c r="G110" s="51">
        <f>F110*(1+Assumptions!F28)</f>
        <v>-396284.28111484362</v>
      </c>
      <c r="H110" s="51">
        <f>G110*(1+Assumptions!G28)</f>
        <v>-406191.38814271468</v>
      </c>
      <c r="I110" s="51">
        <f>H110*(1+Assumptions!H28)</f>
        <v>-416346.17284628254</v>
      </c>
      <c r="J110" s="51">
        <f>I110*(1+Assumptions!I28)</f>
        <v>-426754.82716743957</v>
      </c>
      <c r="K110" s="51">
        <f>J110*(1+Assumptions!J28)</f>
        <v>-437423.69784662552</v>
      </c>
      <c r="L110" s="51">
        <f>K110*(1+Assumptions!K28)</f>
        <v>-448359.29029279115</v>
      </c>
      <c r="M110" s="51">
        <f>L110*(1+Assumptions!L28)</f>
        <v>-459568.27255011088</v>
      </c>
    </row>
    <row r="111" spans="1:13" x14ac:dyDescent="0.25">
      <c r="A111" s="6" t="s">
        <v>567</v>
      </c>
      <c r="B111" s="6" t="s">
        <v>568</v>
      </c>
      <c r="C111" s="51">
        <f>SUMIF(TB!$A:$A,A111,TB!$D:$D)</f>
        <v>0</v>
      </c>
      <c r="D111" s="51">
        <v>-473000</v>
      </c>
      <c r="E111" s="51">
        <f>D111</f>
        <v>-473000</v>
      </c>
      <c r="F111" s="51">
        <f t="shared" ref="F111:M111" si="15">E111</f>
        <v>-473000</v>
      </c>
      <c r="G111" s="51">
        <f t="shared" si="15"/>
        <v>-473000</v>
      </c>
      <c r="H111" s="51">
        <f t="shared" si="15"/>
        <v>-473000</v>
      </c>
      <c r="I111" s="51">
        <f t="shared" si="15"/>
        <v>-473000</v>
      </c>
      <c r="J111" s="51">
        <f t="shared" si="15"/>
        <v>-473000</v>
      </c>
      <c r="K111" s="51">
        <f t="shared" si="15"/>
        <v>-473000</v>
      </c>
      <c r="L111" s="51">
        <f t="shared" si="15"/>
        <v>-473000</v>
      </c>
      <c r="M111" s="51">
        <f t="shared" si="15"/>
        <v>-473000</v>
      </c>
    </row>
    <row r="112" spans="1:13" x14ac:dyDescent="0.25">
      <c r="A112" s="6" t="s">
        <v>486</v>
      </c>
      <c r="B112" s="6" t="s">
        <v>532</v>
      </c>
      <c r="C112" s="51">
        <f>SUMIF(TB!$A:$A,A112,TB!$D:$D)</f>
        <v>-268947</v>
      </c>
      <c r="D112" s="51">
        <f>C112*(1+Assumptions!C28)</f>
        <v>-275670.67499999999</v>
      </c>
      <c r="E112" s="51">
        <f>D112*(1+Assumptions!D28)</f>
        <v>-282562.44187499996</v>
      </c>
      <c r="F112" s="51">
        <f>E112*(1+Assumptions!E28)</f>
        <v>-289626.50292187493</v>
      </c>
      <c r="G112" s="51">
        <f>F112*(1+Assumptions!F28)</f>
        <v>-296867.16549492179</v>
      </c>
      <c r="H112" s="51">
        <f>G112*(1+Assumptions!G28)</f>
        <v>-304288.84463229479</v>
      </c>
      <c r="I112" s="51">
        <f>H112*(1+Assumptions!H28)</f>
        <v>-311896.06574810215</v>
      </c>
      <c r="J112" s="51">
        <f>I112*(1+Assumptions!I28)</f>
        <v>-319693.46739180468</v>
      </c>
      <c r="K112" s="51">
        <f>J112*(1+Assumptions!J28)</f>
        <v>-327685.80407659977</v>
      </c>
      <c r="L112" s="51">
        <f>K112*(1+Assumptions!K28)</f>
        <v>-335877.94917851471</v>
      </c>
      <c r="M112" s="51">
        <f>L112*(1+Assumptions!L28)</f>
        <v>-344274.89790797757</v>
      </c>
    </row>
    <row r="113" spans="1:13" x14ac:dyDescent="0.25">
      <c r="A113" s="6" t="s">
        <v>500</v>
      </c>
      <c r="B113" s="6" t="s">
        <v>569</v>
      </c>
      <c r="C113" s="51">
        <f>SUMIF(TB!$A:$A,A113,TB!$D:$D)</f>
        <v>-374000</v>
      </c>
      <c r="D113" s="51">
        <f>C113*(1+Assumptions!C28)</f>
        <v>-383349.99999999994</v>
      </c>
      <c r="E113" s="51">
        <f>D113*(1+Assumptions!D28)</f>
        <v>-392933.74999999988</v>
      </c>
      <c r="F113" s="51">
        <f>E113*(1+Assumptions!E28)</f>
        <v>-402757.09374999983</v>
      </c>
      <c r="G113" s="51">
        <f>F113*(1+Assumptions!F28)</f>
        <v>-412826.02109374979</v>
      </c>
      <c r="H113" s="51">
        <f>G113*(1+Assumptions!G28)</f>
        <v>-423146.67162109353</v>
      </c>
      <c r="I113" s="51">
        <f>H113*(1+Assumptions!H28)</f>
        <v>-433725.33841162082</v>
      </c>
      <c r="J113" s="51">
        <f>I113*(1+Assumptions!I28)</f>
        <v>-444568.47187191132</v>
      </c>
      <c r="K113" s="51">
        <f>J113*(1+Assumptions!J28)</f>
        <v>-455682.68366870907</v>
      </c>
      <c r="L113" s="51">
        <f>K113*(1+Assumptions!K28)</f>
        <v>-467074.75076042674</v>
      </c>
      <c r="M113" s="51">
        <f>L113*(1+Assumptions!L28)</f>
        <v>-478751.61952943739</v>
      </c>
    </row>
    <row r="114" spans="1:13" x14ac:dyDescent="0.25">
      <c r="A114" s="6" t="s">
        <v>493</v>
      </c>
      <c r="B114" s="6" t="s">
        <v>522</v>
      </c>
      <c r="C114" s="51">
        <f>SUMIF(TB!$A:$A,A114,TB!$D:$D)</f>
        <v>-65000</v>
      </c>
      <c r="D114" s="51">
        <f>C114*(1+Assumptions!C28)</f>
        <v>-66625</v>
      </c>
      <c r="E114" s="51">
        <f>D114*(1+Assumptions!D28)</f>
        <v>-68290.625</v>
      </c>
      <c r="F114" s="51">
        <f>E114*(1+Assumptions!E28)</f>
        <v>-69997.890625</v>
      </c>
      <c r="G114" s="51">
        <f>F114*(1+Assumptions!F28)</f>
        <v>-71747.837890625</v>
      </c>
      <c r="H114" s="51">
        <f>G114*(1+Assumptions!G28)</f>
        <v>-73541.533837890616</v>
      </c>
      <c r="I114" s="51">
        <f>H114*(1+Assumptions!H28)</f>
        <v>-75380.072183837881</v>
      </c>
      <c r="J114" s="51">
        <f>I114*(1+Assumptions!I28)</f>
        <v>-77264.573988433825</v>
      </c>
      <c r="K114" s="51">
        <f>J114*(1+Assumptions!J28)</f>
        <v>-79196.188338144668</v>
      </c>
      <c r="L114" s="51">
        <f>K114*(1+Assumptions!K28)</f>
        <v>-81176.093046598282</v>
      </c>
      <c r="M114" s="51">
        <f>L114*(1+Assumptions!L28)</f>
        <v>-83205.495372763238</v>
      </c>
    </row>
    <row r="115" spans="1:13" x14ac:dyDescent="0.25">
      <c r="A115" s="6" t="s">
        <v>67</v>
      </c>
      <c r="B115" s="59" t="s">
        <v>68</v>
      </c>
      <c r="C115" s="53">
        <f>SUMIF('Manual Adjust'!$A:$A,$A115,'Manual Adjust'!C:C)</f>
        <v>0</v>
      </c>
      <c r="D115" s="53">
        <f>SUMIF('Manual Adjust'!$A:$A,$A115,'Manual Adjust'!D:D)</f>
        <v>0</v>
      </c>
      <c r="E115" s="53">
        <f>SUMIF('Manual Adjust'!$A:$A,$A115,'Manual Adjust'!E:E)</f>
        <v>0</v>
      </c>
      <c r="F115" s="53">
        <f>SUMIF('Manual Adjust'!$A:$A,$A115,'Manual Adjust'!F:F)</f>
        <v>0</v>
      </c>
      <c r="G115" s="53">
        <f>SUMIF('Manual Adjust'!$A:$A,$A115,'Manual Adjust'!G:G)</f>
        <v>0</v>
      </c>
      <c r="H115" s="53">
        <f>SUMIF('Manual Adjust'!$A:$A,$A115,'Manual Adjust'!H:H)</f>
        <v>0</v>
      </c>
      <c r="I115" s="53">
        <f>SUMIF('Manual Adjust'!$A:$A,$A115,'Manual Adjust'!I:I)</f>
        <v>0</v>
      </c>
      <c r="J115" s="53">
        <f>SUMIF('Manual Adjust'!$A:$A,$A115,'Manual Adjust'!J:J)</f>
        <v>0</v>
      </c>
      <c r="K115" s="53">
        <f>SUMIF('Manual Adjust'!$A:$A,$A115,'Manual Adjust'!K:K)</f>
        <v>0</v>
      </c>
      <c r="L115" s="53">
        <f>SUMIF('Manual Adjust'!$A:$A,$A115,'Manual Adjust'!L:L)</f>
        <v>0</v>
      </c>
      <c r="M115" s="53">
        <f>SUMIF('Manual Adjust'!$A:$A,$A115,'Manual Adjust'!M:M)</f>
        <v>0</v>
      </c>
    </row>
    <row r="116" spans="1:13" x14ac:dyDescent="0.25">
      <c r="A116" s="6"/>
      <c r="B116" s="3" t="s">
        <v>570</v>
      </c>
      <c r="C116" s="61">
        <f>SUBTOTAL(9,C108:C115)</f>
        <v>-1536981</v>
      </c>
      <c r="D116" s="61">
        <f t="shared" ref="D116:M116" si="16">SUBTOTAL(9,D108:D115)</f>
        <v>-2042905.5250000001</v>
      </c>
      <c r="E116" s="61">
        <f t="shared" si="16"/>
        <v>-2076653.163125</v>
      </c>
      <c r="F116" s="61">
        <f t="shared" si="16"/>
        <v>-2111244.4922031243</v>
      </c>
      <c r="G116" s="61">
        <f t="shared" si="16"/>
        <v>-2146700.6045082025</v>
      </c>
      <c r="H116" s="61">
        <f t="shared" si="16"/>
        <v>-2183043.1196209076</v>
      </c>
      <c r="I116" s="61">
        <f t="shared" si="16"/>
        <v>-2220294.1976114297</v>
      </c>
      <c r="J116" s="61">
        <f t="shared" si="16"/>
        <v>-2258476.5525517156</v>
      </c>
      <c r="K116" s="61">
        <f t="shared" si="16"/>
        <v>-2297613.4663655083</v>
      </c>
      <c r="L116" s="61">
        <f t="shared" si="16"/>
        <v>-2337728.8030246459</v>
      </c>
      <c r="M116" s="61">
        <f t="shared" si="16"/>
        <v>-2378847.023100262</v>
      </c>
    </row>
    <row r="119" spans="1:13" x14ac:dyDescent="0.25">
      <c r="A119" s="6"/>
      <c r="B119" s="49" t="s">
        <v>571</v>
      </c>
    </row>
    <row r="120" spans="1:13" x14ac:dyDescent="0.25">
      <c r="A120" s="6"/>
      <c r="B120" s="6"/>
    </row>
    <row r="121" spans="1:13" x14ac:dyDescent="0.25">
      <c r="A121" s="6"/>
      <c r="B121" s="3" t="s">
        <v>69</v>
      </c>
    </row>
    <row r="122" spans="1:13" x14ac:dyDescent="0.25">
      <c r="A122" s="6" t="s">
        <v>491</v>
      </c>
      <c r="B122" s="6" t="s">
        <v>572</v>
      </c>
      <c r="C122" s="51">
        <f>SUMIF(TB!$A:$A,A122,TB!$D:$D)</f>
        <v>-225000</v>
      </c>
      <c r="D122" s="51">
        <f>C122*(1+Assumptions!C28)</f>
        <v>-230624.99999999997</v>
      </c>
      <c r="E122" s="51">
        <f>D122*(1+Assumptions!D28)</f>
        <v>-236390.62499999994</v>
      </c>
      <c r="F122" s="51">
        <f>E122*(1+Assumptions!E28)</f>
        <v>-242300.39062499991</v>
      </c>
      <c r="G122" s="51">
        <f>F122*(1+Assumptions!F28)</f>
        <v>-248357.90039062488</v>
      </c>
      <c r="H122" s="51">
        <f>G122*(1+Assumptions!G28)</f>
        <v>-254566.84790039048</v>
      </c>
      <c r="I122" s="51">
        <f>H122*(1+Assumptions!H28)</f>
        <v>-260931.01909790022</v>
      </c>
      <c r="J122" s="51">
        <f>I122*(1+Assumptions!I28)</f>
        <v>-267454.29457534768</v>
      </c>
      <c r="K122" s="51">
        <f>J122*(1+Assumptions!J28)</f>
        <v>-274140.65193973132</v>
      </c>
      <c r="L122" s="51">
        <f>K122*(1+Assumptions!K28)</f>
        <v>-280994.16823822458</v>
      </c>
      <c r="M122" s="51">
        <f>L122*(1+Assumptions!L28)</f>
        <v>-288019.02244418015</v>
      </c>
    </row>
    <row r="123" spans="1:13" x14ac:dyDescent="0.25">
      <c r="A123" s="6" t="s">
        <v>471</v>
      </c>
      <c r="B123" s="6" t="s">
        <v>573</v>
      </c>
      <c r="C123" s="51">
        <f>SUMIF(TB!$A:$A,A123,TB!$D:$D)</f>
        <v>-17000</v>
      </c>
      <c r="D123" s="51">
        <f>C123*(1+Assumptions!C28)</f>
        <v>-17425</v>
      </c>
      <c r="E123" s="51">
        <f>D123*(1+Assumptions!D28)</f>
        <v>-17860.625</v>
      </c>
      <c r="F123" s="51">
        <f>E123*(1+Assumptions!E28)</f>
        <v>-18307.140625</v>
      </c>
      <c r="G123" s="51">
        <f>F123*(1+Assumptions!F28)</f>
        <v>-18764.819140624997</v>
      </c>
      <c r="H123" s="51">
        <f>G123*(1+Assumptions!G28)</f>
        <v>-19233.939619140619</v>
      </c>
      <c r="I123" s="51">
        <f>H123*(1+Assumptions!H28)</f>
        <v>-19714.788109619134</v>
      </c>
      <c r="J123" s="51">
        <f>I123*(1+Assumptions!I28)</f>
        <v>-20207.657812359612</v>
      </c>
      <c r="K123" s="51">
        <f>J123*(1+Assumptions!J28)</f>
        <v>-20712.8492576686</v>
      </c>
      <c r="L123" s="51">
        <f>K123*(1+Assumptions!K28)</f>
        <v>-21230.670489110315</v>
      </c>
      <c r="M123" s="51">
        <f>L123*(1+Assumptions!L28)</f>
        <v>-21761.437251338069</v>
      </c>
    </row>
    <row r="124" spans="1:13" x14ac:dyDescent="0.25">
      <c r="A124" s="6" t="s">
        <v>490</v>
      </c>
      <c r="B124" s="6" t="s">
        <v>574</v>
      </c>
      <c r="C124" s="51">
        <f>SUMIF(TB!$A:$A,A124,TB!$D:$D)</f>
        <v>-402000</v>
      </c>
      <c r="D124" s="51">
        <f>C124*(1+Assumptions!C28)</f>
        <v>-412049.99999999994</v>
      </c>
      <c r="E124" s="51">
        <f>D124*(1+Assumptions!D28)</f>
        <v>-422351.24999999988</v>
      </c>
      <c r="F124" s="51">
        <f>E124*(1+Assumptions!E28)</f>
        <v>-432910.03124999983</v>
      </c>
      <c r="G124" s="51">
        <f>F124*(1+Assumptions!F28)</f>
        <v>-443732.78203124978</v>
      </c>
      <c r="H124" s="51">
        <f>G124*(1+Assumptions!G28)</f>
        <v>-454826.101582031</v>
      </c>
      <c r="I124" s="51">
        <f>H124*(1+Assumptions!H28)</f>
        <v>-466196.75412158173</v>
      </c>
      <c r="J124" s="51">
        <f>I124*(1+Assumptions!I28)</f>
        <v>-477851.67297462124</v>
      </c>
      <c r="K124" s="51">
        <f>J124*(1+Assumptions!J28)</f>
        <v>-489797.96479898674</v>
      </c>
      <c r="L124" s="51">
        <f>K124*(1+Assumptions!K28)</f>
        <v>-502042.91391896136</v>
      </c>
      <c r="M124" s="51">
        <f>L124*(1+Assumptions!L28)</f>
        <v>-514593.98676693533</v>
      </c>
    </row>
    <row r="125" spans="1:13" x14ac:dyDescent="0.25">
      <c r="A125" s="6" t="s">
        <v>70</v>
      </c>
      <c r="B125" s="59" t="s">
        <v>71</v>
      </c>
      <c r="C125" s="53">
        <f>SUMIF('Manual Adjust'!$A:$A,$A125,'Manual Adjust'!C:C)</f>
        <v>0</v>
      </c>
      <c r="D125" s="53">
        <f>SUMIF('Manual Adjust'!$A:$A,$A125,'Manual Adjust'!D:D)</f>
        <v>0</v>
      </c>
      <c r="E125" s="53">
        <f>SUMIF('Manual Adjust'!$A:$A,$A125,'Manual Adjust'!E:E)</f>
        <v>0</v>
      </c>
      <c r="F125" s="53">
        <f>SUMIF('Manual Adjust'!$A:$A,$A125,'Manual Adjust'!F:F)</f>
        <v>0</v>
      </c>
      <c r="G125" s="53">
        <f>SUMIF('Manual Adjust'!$A:$A,$A125,'Manual Adjust'!G:G)</f>
        <v>0</v>
      </c>
      <c r="H125" s="53">
        <f>SUMIF('Manual Adjust'!$A:$A,$A125,'Manual Adjust'!H:H)</f>
        <v>0</v>
      </c>
      <c r="I125" s="53">
        <f>SUMIF('Manual Adjust'!$A:$A,$A125,'Manual Adjust'!I:I)</f>
        <v>0</v>
      </c>
      <c r="J125" s="53">
        <f>SUMIF('Manual Adjust'!$A:$A,$A125,'Manual Adjust'!J:J)</f>
        <v>0</v>
      </c>
      <c r="K125" s="53">
        <f>SUMIF('Manual Adjust'!$A:$A,$A125,'Manual Adjust'!K:K)</f>
        <v>0</v>
      </c>
      <c r="L125" s="53">
        <f>SUMIF('Manual Adjust'!$A:$A,$A125,'Manual Adjust'!L:L)</f>
        <v>0</v>
      </c>
      <c r="M125" s="53">
        <f>SUMIF('Manual Adjust'!$A:$A,$A125,'Manual Adjust'!M:M)</f>
        <v>0</v>
      </c>
    </row>
    <row r="126" spans="1:13" x14ac:dyDescent="0.25">
      <c r="A126" s="6"/>
      <c r="B126" s="3" t="s">
        <v>575</v>
      </c>
      <c r="C126" s="61">
        <f>SUBTOTAL(9,C122:C125)</f>
        <v>-644000</v>
      </c>
      <c r="D126" s="61">
        <f t="shared" ref="D126:L126" si="17">SUBTOTAL(9,D122:D125)</f>
        <v>-660099.99999999988</v>
      </c>
      <c r="E126" s="61">
        <f t="shared" si="17"/>
        <v>-676602.49999999977</v>
      </c>
      <c r="F126" s="61">
        <f t="shared" si="17"/>
        <v>-693517.56249999977</v>
      </c>
      <c r="G126" s="61">
        <f t="shared" si="17"/>
        <v>-710855.50156249967</v>
      </c>
      <c r="H126" s="61">
        <f t="shared" si="17"/>
        <v>-728626.88910156209</v>
      </c>
      <c r="I126" s="61">
        <f t="shared" si="17"/>
        <v>-746842.5613291011</v>
      </c>
      <c r="J126" s="61">
        <f t="shared" si="17"/>
        <v>-765513.62536232849</v>
      </c>
      <c r="K126" s="61">
        <f t="shared" si="17"/>
        <v>-784651.46599638672</v>
      </c>
      <c r="L126" s="61">
        <f t="shared" si="17"/>
        <v>-804267.75264629629</v>
      </c>
      <c r="M126" s="61">
        <f>SUBTOTAL(9,M122:M125)</f>
        <v>-824374.44646245358</v>
      </c>
    </row>
    <row r="127" spans="1:13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 ht="15.75" thickBot="1" x14ac:dyDescent="0.3">
      <c r="A128" s="6"/>
      <c r="B128" s="55" t="s">
        <v>576</v>
      </c>
      <c r="C128" s="56">
        <f>SUBTOTAL(9,C100:C126)</f>
        <v>-6463755</v>
      </c>
      <c r="D128" s="56">
        <f t="shared" ref="D128:M128" si="18">SUBTOTAL(9,D100:D126)</f>
        <v>-7081573.8749999991</v>
      </c>
      <c r="E128" s="56">
        <f t="shared" si="18"/>
        <v>-7230013.2218749989</v>
      </c>
      <c r="F128" s="56">
        <f t="shared" si="18"/>
        <v>-7382163.5524218734</v>
      </c>
      <c r="G128" s="56">
        <f t="shared" si="18"/>
        <v>-7538117.6412324198</v>
      </c>
      <c r="H128" s="56">
        <f t="shared" si="18"/>
        <v>-7697970.5822632285</v>
      </c>
      <c r="I128" s="56">
        <f t="shared" si="18"/>
        <v>-7861819.8468198096</v>
      </c>
      <c r="J128" s="56">
        <f t="shared" si="18"/>
        <v>-8029765.3429903034</v>
      </c>
      <c r="K128" s="56">
        <f t="shared" si="18"/>
        <v>-8201909.4765650611</v>
      </c>
      <c r="L128" s="56">
        <f t="shared" si="18"/>
        <v>-8378357.2134791864</v>
      </c>
      <c r="M128" s="56">
        <f t="shared" si="18"/>
        <v>-8559216.1438161656</v>
      </c>
    </row>
    <row r="129" spans="1:13" ht="15.75" thickTop="1" x14ac:dyDescent="0.25"/>
    <row r="130" spans="1:13" ht="18" customHeight="1" x14ac:dyDescent="0.25">
      <c r="A130" s="1" t="s">
        <v>577</v>
      </c>
      <c r="B130" s="6"/>
    </row>
    <row r="131" spans="1:13" x14ac:dyDescent="0.25">
      <c r="A131" s="6"/>
      <c r="B131" s="6"/>
    </row>
    <row r="132" spans="1:13" x14ac:dyDescent="0.25">
      <c r="A132" s="6"/>
      <c r="B132" s="64" t="s">
        <v>556</v>
      </c>
    </row>
    <row r="133" spans="1:13" x14ac:dyDescent="0.25">
      <c r="A133" s="6"/>
      <c r="B133" s="6"/>
    </row>
    <row r="134" spans="1:13" x14ac:dyDescent="0.25">
      <c r="A134" s="6"/>
      <c r="B134" s="3" t="s">
        <v>562</v>
      </c>
    </row>
    <row r="135" spans="1:13" x14ac:dyDescent="0.25">
      <c r="A135" s="6" t="s">
        <v>489</v>
      </c>
      <c r="B135" s="6" t="s">
        <v>578</v>
      </c>
      <c r="C135" s="51">
        <f>SUMIF(TB!$A:$A,A135,TB!$D:$D)</f>
        <v>-1545495</v>
      </c>
      <c r="D135" s="51">
        <f>C135*(1+Assumptions!C28)</f>
        <v>-1584132.3749999998</v>
      </c>
      <c r="E135" s="51">
        <f>D135*(1+Assumptions!D28)</f>
        <v>-1623735.6843749997</v>
      </c>
      <c r="F135" s="51">
        <f>E135*(1+Assumptions!E28)</f>
        <v>-1664329.0764843745</v>
      </c>
      <c r="G135" s="51">
        <f>F135*(1+Assumptions!F28)</f>
        <v>-1705937.3033964837</v>
      </c>
      <c r="H135" s="51">
        <f>G135*(1+Assumptions!G28)</f>
        <v>-1748585.7359813957</v>
      </c>
      <c r="I135" s="51">
        <f>H135*(1+Assumptions!H28)</f>
        <v>-1792300.3793809304</v>
      </c>
      <c r="J135" s="51">
        <f>I135*(1+Assumptions!I28)</f>
        <v>-1837107.8888654537</v>
      </c>
      <c r="K135" s="51">
        <f>J135*(1+Assumptions!J28)</f>
        <v>-1883035.5860870897</v>
      </c>
      <c r="L135" s="51">
        <f>K135*(1+Assumptions!K28)</f>
        <v>-1930111.4757392667</v>
      </c>
      <c r="M135" s="51">
        <f>L135*(1+Assumptions!L28)</f>
        <v>-1978364.2626327481</v>
      </c>
    </row>
    <row r="136" spans="1:13" x14ac:dyDescent="0.25">
      <c r="A136" s="6" t="s">
        <v>73</v>
      </c>
      <c r="B136" s="59" t="s">
        <v>74</v>
      </c>
      <c r="C136" s="53">
        <f>SUMIF('Manual Adjust'!$A:$A,$A136,'Manual Adjust'!C:C)</f>
        <v>0</v>
      </c>
      <c r="D136" s="53">
        <f>SUMIF('Manual Adjust'!$A:$A,$A136,'Manual Adjust'!D:D)</f>
        <v>0</v>
      </c>
      <c r="E136" s="53">
        <f>SUMIF('Manual Adjust'!$A:$A,$A136,'Manual Adjust'!E:E)</f>
        <v>0</v>
      </c>
      <c r="F136" s="53">
        <f>SUMIF('Manual Adjust'!$A:$A,$A136,'Manual Adjust'!F:F)</f>
        <v>0</v>
      </c>
      <c r="G136" s="53">
        <f>SUMIF('Manual Adjust'!$A:$A,$A136,'Manual Adjust'!G:G)</f>
        <v>0</v>
      </c>
      <c r="H136" s="53">
        <f>SUMIF('Manual Adjust'!$A:$A,$A136,'Manual Adjust'!H:H)</f>
        <v>0</v>
      </c>
      <c r="I136" s="53">
        <f>SUMIF('Manual Adjust'!$A:$A,$A136,'Manual Adjust'!I:I)</f>
        <v>0</v>
      </c>
      <c r="J136" s="53">
        <f>SUMIF('Manual Adjust'!$A:$A,$A136,'Manual Adjust'!J:J)</f>
        <v>0</v>
      </c>
      <c r="K136" s="53">
        <f>SUMIF('Manual Adjust'!$A:$A,$A136,'Manual Adjust'!K:K)</f>
        <v>0</v>
      </c>
      <c r="L136" s="53">
        <f>SUMIF('Manual Adjust'!$A:$A,$A136,'Manual Adjust'!L:L)</f>
        <v>0</v>
      </c>
      <c r="M136" s="53">
        <f>SUMIF('Manual Adjust'!$A:$A,$A136,'Manual Adjust'!M:M)</f>
        <v>0</v>
      </c>
    </row>
    <row r="137" spans="1:13" x14ac:dyDescent="0.25">
      <c r="A137" s="6"/>
      <c r="B137" s="3" t="s">
        <v>570</v>
      </c>
      <c r="C137" s="61">
        <f>SUBTOTAL(9,C135:C136)</f>
        <v>-1545495</v>
      </c>
      <c r="D137" s="61">
        <f t="shared" ref="D137:M137" si="19">SUBTOTAL(9,D135:D136)</f>
        <v>-1584132.3749999998</v>
      </c>
      <c r="E137" s="61">
        <f t="shared" si="19"/>
        <v>-1623735.6843749997</v>
      </c>
      <c r="F137" s="61">
        <f t="shared" si="19"/>
        <v>-1664329.0764843745</v>
      </c>
      <c r="G137" s="61">
        <f t="shared" si="19"/>
        <v>-1705937.3033964837</v>
      </c>
      <c r="H137" s="61">
        <f t="shared" si="19"/>
        <v>-1748585.7359813957</v>
      </c>
      <c r="I137" s="61">
        <f t="shared" si="19"/>
        <v>-1792300.3793809304</v>
      </c>
      <c r="J137" s="61">
        <f t="shared" si="19"/>
        <v>-1837107.8888654537</v>
      </c>
      <c r="K137" s="61">
        <f t="shared" si="19"/>
        <v>-1883035.5860870897</v>
      </c>
      <c r="L137" s="61">
        <f t="shared" si="19"/>
        <v>-1930111.4757392667</v>
      </c>
      <c r="M137" s="61">
        <f t="shared" si="19"/>
        <v>-1978364.2626327481</v>
      </c>
    </row>
    <row r="138" spans="1:13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5">
      <c r="A140" s="6"/>
      <c r="B140" s="64" t="s">
        <v>571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5">
      <c r="A142" s="6"/>
      <c r="B142" s="3" t="s">
        <v>579</v>
      </c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5">
      <c r="A143" s="6" t="s">
        <v>494</v>
      </c>
      <c r="B143" s="6" t="s">
        <v>580</v>
      </c>
      <c r="C143" s="51">
        <f>SUMIF(TB!$A:$A,A143,TB!$D:$D)</f>
        <v>-2850000</v>
      </c>
      <c r="D143" s="66">
        <f>-[3]Sheet1!F87</f>
        <v>-2850000</v>
      </c>
      <c r="E143" s="66">
        <f>-[3]Sheet1!G87</f>
        <v>-2850000</v>
      </c>
      <c r="F143" s="66">
        <f>-[3]Sheet1!H87</f>
        <v>-2800000</v>
      </c>
      <c r="G143" s="66">
        <f>-[3]Sheet1!I87</f>
        <v>-2800000</v>
      </c>
      <c r="H143" s="66">
        <f>-[3]Sheet1!J87</f>
        <v>-2800000</v>
      </c>
      <c r="I143" s="66">
        <f>-[3]Sheet1!K87</f>
        <v>-2800000</v>
      </c>
      <c r="J143" s="66">
        <f>-[3]Sheet1!L87</f>
        <v>-2800000</v>
      </c>
      <c r="K143" s="66">
        <f>J143</f>
        <v>-2800000</v>
      </c>
      <c r="L143" s="66">
        <f>K143</f>
        <v>-2800000</v>
      </c>
      <c r="M143" s="66">
        <f>L143</f>
        <v>-2800000</v>
      </c>
    </row>
    <row r="144" spans="1:13" x14ac:dyDescent="0.25">
      <c r="A144" s="6" t="s">
        <v>76</v>
      </c>
      <c r="B144" s="59" t="s">
        <v>77</v>
      </c>
      <c r="C144" s="53">
        <f>SUMIF('Manual Adjust'!$A:$A,$A144,'Manual Adjust'!C:C)</f>
        <v>0</v>
      </c>
      <c r="D144" s="53">
        <f>SUMIF('Manual Adjust'!$A:$A,$A144,'Manual Adjust'!D:D)</f>
        <v>0</v>
      </c>
      <c r="E144" s="53">
        <f>SUMIF('Manual Adjust'!$A:$A,$A144,'Manual Adjust'!E:E)</f>
        <v>0</v>
      </c>
      <c r="F144" s="53">
        <f>SUMIF('Manual Adjust'!$A:$A,$A144,'Manual Adjust'!F:F)</f>
        <v>0</v>
      </c>
      <c r="G144" s="53">
        <f>SUMIF('Manual Adjust'!$A:$A,$A144,'Manual Adjust'!G:G)</f>
        <v>0</v>
      </c>
      <c r="H144" s="53">
        <f>SUMIF('Manual Adjust'!$A:$A,$A144,'Manual Adjust'!H:H)</f>
        <v>0</v>
      </c>
      <c r="I144" s="53">
        <f>SUMIF('Manual Adjust'!$A:$A,$A144,'Manual Adjust'!I:I)</f>
        <v>0</v>
      </c>
      <c r="J144" s="53">
        <f>SUMIF('Manual Adjust'!$A:$A,$A144,'Manual Adjust'!J:J)</f>
        <v>0</v>
      </c>
      <c r="K144" s="53">
        <f>SUMIF('Manual Adjust'!$A:$A,$A144,'Manual Adjust'!K:K)</f>
        <v>0</v>
      </c>
      <c r="L144" s="53">
        <f>SUMIF('Manual Adjust'!$A:$A,$A144,'Manual Adjust'!L:L)</f>
        <v>0</v>
      </c>
      <c r="M144" s="53">
        <f>SUMIF('Manual Adjust'!$A:$A,$A144,'Manual Adjust'!M:M)</f>
        <v>0</v>
      </c>
    </row>
    <row r="145" spans="1:13" x14ac:dyDescent="0.25">
      <c r="A145" s="6"/>
      <c r="B145" s="3" t="s">
        <v>581</v>
      </c>
      <c r="C145" s="61">
        <f>SUBTOTAL(9,C143:C144)</f>
        <v>-2850000</v>
      </c>
      <c r="D145" s="61">
        <f t="shared" ref="D145:M145" si="20">SUBTOTAL(9,D143:D144)</f>
        <v>-2850000</v>
      </c>
      <c r="E145" s="61">
        <f t="shared" si="20"/>
        <v>-2850000</v>
      </c>
      <c r="F145" s="61">
        <f t="shared" si="20"/>
        <v>-2800000</v>
      </c>
      <c r="G145" s="61">
        <f t="shared" si="20"/>
        <v>-2800000</v>
      </c>
      <c r="H145" s="61">
        <f t="shared" si="20"/>
        <v>-2800000</v>
      </c>
      <c r="I145" s="61">
        <f t="shared" si="20"/>
        <v>-2800000</v>
      </c>
      <c r="J145" s="61">
        <f t="shared" si="20"/>
        <v>-2800000</v>
      </c>
      <c r="K145" s="61">
        <f t="shared" si="20"/>
        <v>-2800000</v>
      </c>
      <c r="L145" s="61">
        <f t="shared" si="20"/>
        <v>-2800000</v>
      </c>
      <c r="M145" s="61">
        <f t="shared" si="20"/>
        <v>-2800000</v>
      </c>
    </row>
    <row r="146" spans="1:13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5">
      <c r="A147" s="6"/>
      <c r="B147" s="3" t="s">
        <v>69</v>
      </c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5">
      <c r="A148" s="6" t="s">
        <v>496</v>
      </c>
      <c r="B148" s="6" t="s">
        <v>572</v>
      </c>
      <c r="C148" s="51">
        <f>SUMIF(TB!$A:$A,A148,TB!$D:$D)</f>
        <v>-445000</v>
      </c>
      <c r="D148" s="51">
        <f>C148*(1+Assumptions!C28)</f>
        <v>-456124.99999999994</v>
      </c>
      <c r="E148" s="51">
        <f>D148*(1+Assumptions!D28)</f>
        <v>-467528.12499999988</v>
      </c>
      <c r="F148" s="51">
        <f>E148*(1+Assumptions!E28)</f>
        <v>-479216.32812499983</v>
      </c>
      <c r="G148" s="51">
        <f>F148*(1+Assumptions!F28)</f>
        <v>-491196.73632812477</v>
      </c>
      <c r="H148" s="51">
        <f>G148*(1+Assumptions!G28)</f>
        <v>-503476.65473632782</v>
      </c>
      <c r="I148" s="51">
        <f>H148*(1+Assumptions!H28)</f>
        <v>-516063.57110473595</v>
      </c>
      <c r="J148" s="51">
        <f>I148*(1+Assumptions!I28)</f>
        <v>-528965.16038235428</v>
      </c>
      <c r="K148" s="51">
        <f>J148*(1+Assumptions!J28)</f>
        <v>-542189.2893919131</v>
      </c>
      <c r="L148" s="51">
        <f>K148*(1+Assumptions!K28)</f>
        <v>-555744.02162671089</v>
      </c>
      <c r="M148" s="51">
        <f>L148*(1+Assumptions!L28)</f>
        <v>-569637.62216737866</v>
      </c>
    </row>
    <row r="149" spans="1:13" x14ac:dyDescent="0.25">
      <c r="A149" s="6" t="s">
        <v>495</v>
      </c>
      <c r="B149" s="6" t="s">
        <v>574</v>
      </c>
      <c r="C149" s="51">
        <f>SUMIF(TB!$A:$A,A149,TB!$D:$D)</f>
        <v>-246000</v>
      </c>
      <c r="D149" s="51">
        <f>C149*(1+Assumptions!C28)</f>
        <v>-252149.99999999997</v>
      </c>
      <c r="E149" s="51">
        <f>D149*(1+Assumptions!D28)</f>
        <v>-258453.74999999994</v>
      </c>
      <c r="F149" s="51">
        <f>E149*(1+Assumptions!E28)</f>
        <v>-264915.09374999994</v>
      </c>
      <c r="G149" s="51">
        <f>F149*(1+Assumptions!F28)</f>
        <v>-271537.97109374992</v>
      </c>
      <c r="H149" s="51">
        <f>G149*(1+Assumptions!G28)</f>
        <v>-278326.42037109367</v>
      </c>
      <c r="I149" s="51">
        <f>H149*(1+Assumptions!H28)</f>
        <v>-285284.58088037098</v>
      </c>
      <c r="J149" s="51">
        <f>I149*(1+Assumptions!I28)</f>
        <v>-292416.69540238025</v>
      </c>
      <c r="K149" s="51">
        <f>J149*(1+Assumptions!J28)</f>
        <v>-299727.11278743972</v>
      </c>
      <c r="L149" s="51">
        <f>K149*(1+Assumptions!K28)</f>
        <v>-307220.29060712567</v>
      </c>
      <c r="M149" s="51">
        <f>L149*(1+Assumptions!L28)</f>
        <v>-314900.79787230381</v>
      </c>
    </row>
    <row r="150" spans="1:13" x14ac:dyDescent="0.25">
      <c r="A150" s="6" t="s">
        <v>79</v>
      </c>
      <c r="B150" s="59" t="s">
        <v>71</v>
      </c>
      <c r="C150" s="53">
        <f>SUMIF('Manual Adjust'!$A:$A,$A150,'Manual Adjust'!C:C)</f>
        <v>0</v>
      </c>
      <c r="D150" s="53">
        <f>SUMIF('Manual Adjust'!$A:$A,$A150,'Manual Adjust'!D:D)</f>
        <v>0</v>
      </c>
      <c r="E150" s="53">
        <f>SUMIF('Manual Adjust'!$A:$A,$A150,'Manual Adjust'!E:E)</f>
        <v>0</v>
      </c>
      <c r="F150" s="53">
        <f>SUMIF('Manual Adjust'!$A:$A,$A150,'Manual Adjust'!F:F)</f>
        <v>0</v>
      </c>
      <c r="G150" s="53">
        <f>SUMIF('Manual Adjust'!$A:$A,$A150,'Manual Adjust'!G:G)</f>
        <v>0</v>
      </c>
      <c r="H150" s="53">
        <f>SUMIF('Manual Adjust'!$A:$A,$A150,'Manual Adjust'!H:H)</f>
        <v>0</v>
      </c>
      <c r="I150" s="53">
        <f>SUMIF('Manual Adjust'!$A:$A,$A150,'Manual Adjust'!I:I)</f>
        <v>0</v>
      </c>
      <c r="J150" s="53">
        <f>SUMIF('Manual Adjust'!$A:$A,$A150,'Manual Adjust'!J:J)</f>
        <v>0</v>
      </c>
      <c r="K150" s="53">
        <f>SUMIF('Manual Adjust'!$A:$A,$A150,'Manual Adjust'!K:K)</f>
        <v>0</v>
      </c>
      <c r="L150" s="53">
        <f>SUMIF('Manual Adjust'!$A:$A,$A150,'Manual Adjust'!L:L)</f>
        <v>0</v>
      </c>
      <c r="M150" s="53">
        <f>SUMIF('Manual Adjust'!$A:$A,$A150,'Manual Adjust'!M:M)</f>
        <v>0</v>
      </c>
    </row>
    <row r="151" spans="1:13" x14ac:dyDescent="0.25">
      <c r="A151" s="6"/>
      <c r="B151" s="3" t="s">
        <v>575</v>
      </c>
      <c r="C151" s="61">
        <f>SUBTOTAL(9,C148:C150)</f>
        <v>-691000</v>
      </c>
      <c r="D151" s="61">
        <f t="shared" ref="D151:M151" si="21">SUBTOTAL(9,D148:D150)</f>
        <v>-708274.99999999988</v>
      </c>
      <c r="E151" s="61">
        <f t="shared" si="21"/>
        <v>-725981.87499999977</v>
      </c>
      <c r="F151" s="61">
        <f t="shared" si="21"/>
        <v>-744131.42187499977</v>
      </c>
      <c r="G151" s="61">
        <f t="shared" si="21"/>
        <v>-762734.70742187463</v>
      </c>
      <c r="H151" s="61">
        <f t="shared" si="21"/>
        <v>-781803.07510742149</v>
      </c>
      <c r="I151" s="61">
        <f t="shared" si="21"/>
        <v>-801348.15198510699</v>
      </c>
      <c r="J151" s="61">
        <f t="shared" si="21"/>
        <v>-821381.85578473448</v>
      </c>
      <c r="K151" s="61">
        <f t="shared" si="21"/>
        <v>-841916.40217935282</v>
      </c>
      <c r="L151" s="61">
        <f t="shared" si="21"/>
        <v>-862964.31223383662</v>
      </c>
      <c r="M151" s="61">
        <f t="shared" si="21"/>
        <v>-884538.42003968242</v>
      </c>
    </row>
    <row r="152" spans="1:13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 ht="15.75" thickBot="1" x14ac:dyDescent="0.3">
      <c r="A153" s="6"/>
      <c r="B153" s="65" t="s">
        <v>582</v>
      </c>
      <c r="C153" s="67">
        <f>SUBTOTAL(9,C135:C151)</f>
        <v>-5086495</v>
      </c>
      <c r="D153" s="67">
        <f t="shared" ref="D153:M153" si="22">SUBTOTAL(9,D135:D151)</f>
        <v>-5142407.375</v>
      </c>
      <c r="E153" s="67">
        <f t="shared" si="22"/>
        <v>-5199717.5593749993</v>
      </c>
      <c r="F153" s="67">
        <f t="shared" si="22"/>
        <v>-5208460.4983593747</v>
      </c>
      <c r="G153" s="67">
        <f t="shared" si="22"/>
        <v>-5268672.0108183585</v>
      </c>
      <c r="H153" s="67">
        <f t="shared" si="22"/>
        <v>-5330388.8110888172</v>
      </c>
      <c r="I153" s="67">
        <f t="shared" si="22"/>
        <v>-5393648.5313660372</v>
      </c>
      <c r="J153" s="67">
        <f t="shared" si="22"/>
        <v>-5458489.7446501888</v>
      </c>
      <c r="K153" s="67">
        <f t="shared" si="22"/>
        <v>-5524951.9882664429</v>
      </c>
      <c r="L153" s="67">
        <f t="shared" si="22"/>
        <v>-5593075.7879731031</v>
      </c>
      <c r="M153" s="67">
        <f t="shared" si="22"/>
        <v>-5662902.6826724308</v>
      </c>
    </row>
    <row r="154" spans="1:13" ht="15.75" thickTop="1" x14ac:dyDescent="0.25"/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15</vt:i4>
      </vt:variant>
    </vt:vector>
  </HeadingPairs>
  <TitlesOfParts>
    <vt:vector size="41" baseType="lpstr">
      <vt:lpstr>Assumptions</vt:lpstr>
      <vt:lpstr>Income Statement</vt:lpstr>
      <vt:lpstr>Balance Sheet</vt:lpstr>
      <vt:lpstr>Cashflow Statement</vt:lpstr>
      <vt:lpstr>Performance Statement</vt:lpstr>
      <vt:lpstr>Funding Statement</vt:lpstr>
      <vt:lpstr>Capital Exp Statement</vt:lpstr>
      <vt:lpstr>Reserves</vt:lpstr>
      <vt:lpstr>Note 3</vt:lpstr>
      <vt:lpstr>Note 4 to 5</vt:lpstr>
      <vt:lpstr>Note 6 to 8</vt:lpstr>
      <vt:lpstr>Note 9</vt:lpstr>
      <vt:lpstr>Note 10 to 11</vt:lpstr>
      <vt:lpstr>Note 13</vt:lpstr>
      <vt:lpstr>Note 13 Works</vt:lpstr>
      <vt:lpstr>Performance Works</vt:lpstr>
      <vt:lpstr>Capital Works</vt:lpstr>
      <vt:lpstr>SS7</vt:lpstr>
      <vt:lpstr>SS7 Work</vt:lpstr>
      <vt:lpstr>Cashflow Works</vt:lpstr>
      <vt:lpstr>TB</vt:lpstr>
      <vt:lpstr>Salaries</vt:lpstr>
      <vt:lpstr>Manual Adjust</vt:lpstr>
      <vt:lpstr>Parameters</vt:lpstr>
      <vt:lpstr>Depreciable Cost</vt:lpstr>
      <vt:lpstr>Checklist</vt:lpstr>
      <vt:lpstr>BASE_YR</vt:lpstr>
      <vt:lpstr>InterestRate</vt:lpstr>
      <vt:lpstr>MODEL_NAME</vt:lpstr>
      <vt:lpstr>PaymentsPerYear</vt:lpstr>
      <vt:lpstr>'Balance Sheet'!Print_Area</vt:lpstr>
      <vt:lpstr>'Capital Exp Statement'!Print_Area</vt:lpstr>
      <vt:lpstr>'Cashflow Statement'!Print_Area</vt:lpstr>
      <vt:lpstr>'Funding Statement'!Print_Area</vt:lpstr>
      <vt:lpstr>'Income Statement'!Print_Area</vt:lpstr>
      <vt:lpstr>'Performance Statement'!Print_Area</vt:lpstr>
      <vt:lpstr>Reserves!Print_Area</vt:lpstr>
      <vt:lpstr>'Performance Statement'!Print_Titles</vt:lpstr>
      <vt:lpstr>RATE_INCR</vt:lpstr>
      <vt:lpstr>RATE_PEG</vt:lpstr>
      <vt:lpstr>SENARIO_NAME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2018-02-02T04:14:35Z</dcterms:modified>
</cp:coreProperties>
</file>